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20"/>
  </bookViews>
  <sheets>
    <sheet name="FOR MIDI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23Graph_AREER" hidden="1">[2]ER!#REF!</definedName>
    <definedName name="__123Graph_BREER" hidden="1">[2]ER!#REF!</definedName>
    <definedName name="__123Graph_CREER" hidden="1">[2]ER!#REF!</definedName>
    <definedName name="__123Graph_X" hidden="1">[3]BOP!#REF!</definedName>
    <definedName name="__123Graph_XGRAPH1" hidden="1">[3]BOP!#REF!</definedName>
    <definedName name="__END94">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10FA_L">#REF!</definedName>
    <definedName name="_11GAZ_LIABS">#REF!</definedName>
    <definedName name="_12INT_RESERVES">#REF!</definedName>
    <definedName name="_1r">#REF!</definedName>
    <definedName name="_2Macros_Import_.qbop">[4]!'[Macros Import].qbop'</definedName>
    <definedName name="_3__123Graph_ACPI_ER_LOG" hidden="1">[2]ER!#REF!</definedName>
    <definedName name="_4__123Graph_BCPI_ER_LOG" hidden="1">[2]ER!#REF!</definedName>
    <definedName name="_5__123Graph_BIBA_IBRD" hidden="1">[2]WB!#REF!</definedName>
    <definedName name="_6B.2_B.3">#REF!</definedName>
    <definedName name="_7B.4___5">#REF!</definedName>
    <definedName name="_8CONSOL_B2">#REF!</definedName>
    <definedName name="_90CI">[5]Meyer!$B$292</definedName>
    <definedName name="_91CI">[5]Meyer!$B$293</definedName>
    <definedName name="_92CI">[5]Meyer!$B$294</definedName>
    <definedName name="_93CI">[5]Meyer!$B$295</definedName>
    <definedName name="_94CI">[5]Meyer!$B$296</definedName>
    <definedName name="_95CI">[5]Meyer!$B$297</definedName>
    <definedName name="_9CONSOL_DEPOSITS">'[6]A 11'!#REF!</definedName>
    <definedName name="_BOP2">[7]BoP!#REF!</definedName>
    <definedName name="_END94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RES2">[7]RES!#REF!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[8]Q6!$E$10:$AH$10</definedName>
    <definedName name="BCA_GDP">#N/A</definedName>
    <definedName name="BCA_NGDP">#REF!</definedName>
    <definedName name="BE">#REF!</definedName>
    <definedName name="BEA">#REF!</definedName>
    <definedName name="BEAI">#REF!</definedName>
    <definedName name="BEAIB">#REF!</definedName>
    <definedName name="BEAIG">#REF!</definedName>
    <definedName name="BEAP">#REF!</definedName>
    <definedName name="BEAPB">#REF!</definedName>
    <definedName name="BEAPG">#REF!</definedName>
    <definedName name="BED">#REF!</definedName>
    <definedName name="BED_6">#REF!</definedName>
    <definedName name="BEO">#REF!</definedName>
    <definedName name="BER">#REF!</definedName>
    <definedName name="BERI">#REF!</definedName>
    <definedName name="BERIB">#REF!</definedName>
    <definedName name="BERIG">#REF!</definedName>
    <definedName name="BERP">#REF!</definedName>
    <definedName name="BERPB">#REF!</definedName>
    <definedName name="BERPG">#REF!</definedName>
    <definedName name="BF">#REF!</definedName>
    <definedName name="BFD">#REF!</definedName>
    <definedName name="BFDA">#REF!</definedName>
    <definedName name="BFDI">#REF!</definedName>
    <definedName name="BFDIL">#REF!</definedName>
    <definedName name="BFDL">#REF!</definedName>
    <definedName name="BFL">#REF!</definedName>
    <definedName name="BFL_7">#REF!</definedName>
    <definedName name="BFL_D">#REF!</definedName>
    <definedName name="BFL_DF">#REF!</definedName>
    <definedName name="BFLB">#REF!</definedName>
    <definedName name="BFLB_7">#REF!</definedName>
    <definedName name="BFLB_D">#REF!</definedName>
    <definedName name="BFLB_DF">#REF!</definedName>
    <definedName name="BFLD_DF">[9]!BFLD_DF</definedName>
    <definedName name="BFLG">#REF!</definedName>
    <definedName name="BFLG_7">#REF!</definedName>
    <definedName name="BFLG_D">#REF!</definedName>
    <definedName name="BFLG_DF">#REF!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_S_7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PQ">#REF!</definedName>
    <definedName name="BFRA">#REF!</definedName>
    <definedName name="BFUND">#REF!</definedName>
    <definedName name="BGS">#REF!</definedName>
    <definedName name="BGS_NGDP">#REF!</definedName>
    <definedName name="BI">#REF!</definedName>
    <definedName name="BIP">#REF!</definedName>
    <definedName name="BK">#REF!</definedName>
    <definedName name="BKF">#REF!</definedName>
    <definedName name="BKF_7D">#REF!</definedName>
    <definedName name="BKF_7DG">#REF!</definedName>
    <definedName name="BKFA">#REF!</definedName>
    <definedName name="BKO">#REF!</definedName>
    <definedName name="BM">[8]Q6!$E$18:$AH$18</definedName>
    <definedName name="BM_NM_R">#REF!</definedName>
    <definedName name="BMG">[8]Q6!$E$29:$AH$29</definedName>
    <definedName name="BMG_NMG_R">#REF!</definedName>
    <definedName name="BMII">#REF!</definedName>
    <definedName name="BMII_7">#REF!</definedName>
    <definedName name="BMII_D">#REF!</definedName>
    <definedName name="BMIIB">#REF!</definedName>
    <definedName name="BMIIB_7">#REF!</definedName>
    <definedName name="BMIIG">#REF!</definedName>
    <definedName name="BMIIG_7">#REF!</definedName>
    <definedName name="BMS">#REF!</definedName>
    <definedName name="BOP">#REF!</definedName>
    <definedName name="BOPUSD">#REF!</definedName>
    <definedName name="BottomRight">#REF!</definedName>
    <definedName name="BRASS">#REF!</definedName>
    <definedName name="BRASS_1">#REF!</definedName>
    <definedName name="BRASS_6">#REF!</definedName>
    <definedName name="BS">#REF!</definedName>
    <definedName name="BT">#REF!</definedName>
    <definedName name="BTR">#REF!</definedName>
    <definedName name="BTRG">#REF!</definedName>
    <definedName name="BTRP">#REF!</definedName>
    <definedName name="BX">[8]Q6!$E$15:$AH$15</definedName>
    <definedName name="BX_NX_R">#REF!</definedName>
    <definedName name="BXG">[8]Q6!$E$26:$AH$26</definedName>
    <definedName name="BXG_NXG_R">#REF!</definedName>
    <definedName name="BXS">#REF!</definedName>
    <definedName name="C.2">#REF!</definedName>
    <definedName name="CalcBCA_1">#REF!</definedName>
    <definedName name="CalcBCA_2">#REF!</definedName>
    <definedName name="CalcBFRA_1">#REF!</definedName>
    <definedName name="CalcBFRA_2">#REF!</definedName>
    <definedName name="CalcBK">#REF!</definedName>
    <definedName name="CalcBKF">#REF!</definedName>
    <definedName name="CalcBMG">#REF!</definedName>
    <definedName name="CalcBXG">#REF!</definedName>
    <definedName name="CalcC_F">#REF!</definedName>
    <definedName name="CalcMCV_B">#REF!</definedName>
    <definedName name="CalcMCV_T">#REF!</definedName>
    <definedName name="calcNGS_NGDP">#N/A</definedName>
    <definedName name="CCC">#REF!</definedName>
    <definedName name="CHK1.1">#REF!</definedName>
    <definedName name="CHK2.1">#REF!</definedName>
    <definedName name="CHK2.2">#REF!</definedName>
    <definedName name="CHK2.3">#REF!</definedName>
    <definedName name="CHK3.1">#REF!</definedName>
    <definedName name="CHK5.1">#REF!</definedName>
    <definedName name="cirr">#REF!</definedName>
    <definedName name="CONSOL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CurrVintage">'[10]A Current Data'!$D$60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_NGDP">#REF!</definedName>
    <definedName name="D_S_SY">#REF!</definedName>
    <definedName name="D_Sproj">#REF!</definedName>
    <definedName name="D_SRM">#REF!</definedName>
    <definedName name="D_SY">#REF!</definedName>
    <definedName name="DA">#REF!</definedName>
    <definedName name="DA_D">#REF!</definedName>
    <definedName name="DA_SY">#REF!</definedName>
    <definedName name="DAB">#REF!</definedName>
    <definedName name="DAB_D">#REF!</definedName>
    <definedName name="DAB_SY">#REF!</definedName>
    <definedName name="DABproj">#REF!</definedName>
    <definedName name="DAG">#REF!</definedName>
    <definedName name="DAG_D">#REF!</definedName>
    <definedName name="DAG_SY">#REF!</definedName>
    <definedName name="DAGproj">#REF!</definedName>
    <definedName name="DAI">#REF!</definedName>
    <definedName name="DAIB">#REF!</definedName>
    <definedName name="DAIBproj">#REF!</definedName>
    <definedName name="DAIG">#REF!</definedName>
    <definedName name="DAIGproj">#REF!</definedName>
    <definedName name="DAIproj">#REF!</definedName>
    <definedName name="DAproj">#REF!</definedName>
    <definedName name="DASD">#REF!</definedName>
    <definedName name="DASDB">#REF!</definedName>
    <definedName name="DASDG">#REF!</definedName>
    <definedName name="_xlnm.Database">#REF!</definedName>
    <definedName name="Database_MI">#REF!</definedName>
    <definedName name="Date">'[10]A Current Data'!$D$61</definedName>
    <definedName name="DATES">#REF!</definedName>
    <definedName name="Dates1">#REF!</definedName>
    <definedName name="DB">#REF!</definedName>
    <definedName name="DB_NGDP">#REF!</definedName>
    <definedName name="DB_SY">#REF!</definedName>
    <definedName name="DBproj">#REF!</definedName>
    <definedName name="DDRB">#REF!</definedName>
    <definedName name="DDRB_7DB">#REF!</definedName>
    <definedName name="DDRB_7DB_A">#REF!</definedName>
    <definedName name="DDRO">#REF!</definedName>
    <definedName name="DEBRIEF">#REF!</definedName>
    <definedName name="DEBT">#REF!</definedName>
    <definedName name="DEF">[5]Meyer!$D$203</definedName>
    <definedName name="DEFL">#REF!</definedName>
    <definedName name="DF">#REF!</definedName>
    <definedName name="DF_S">#REF!</definedName>
    <definedName name="DFB">#REF!</definedName>
    <definedName name="DFF">#REF!</definedName>
    <definedName name="DFFB">#REF!</definedName>
    <definedName name="DFFG">#REF!</definedName>
    <definedName name="DFFP">#REF!</definedName>
    <definedName name="DFG">#REF!</definedName>
    <definedName name="DG">#REF!</definedName>
    <definedName name="DG_NGDP">#REF!</definedName>
    <definedName name="DG_S">#REF!</definedName>
    <definedName name="DG_SY">#REF!</definedName>
    <definedName name="DGproj">#REF!</definedName>
    <definedName name="DIF_6">#REF!</definedName>
    <definedName name="Discount_IDA">[11]NPV!$B$28</definedName>
    <definedName name="Discount_NC">[11]NPV!#REF!</definedName>
    <definedName name="DiscountRate">#REF!</definedName>
    <definedName name="DO">#REF!</definedName>
    <definedName name="Dproj">#REF!</definedName>
    <definedName name="DS">#REF!</definedName>
    <definedName name="DSA_Assumptions">#REF!</definedName>
    <definedName name="DSD">#REF!</definedName>
    <definedName name="DSD_S">#REF!</definedName>
    <definedName name="DSDB">#REF!</definedName>
    <definedName name="DSDG">#REF!</definedName>
    <definedName name="DSI">#REF!</definedName>
    <definedName name="DSIB">#REF!</definedName>
    <definedName name="DSIBproj">#REF!</definedName>
    <definedName name="DSIG">#REF!</definedName>
    <definedName name="DSIGproj">#REF!</definedName>
    <definedName name="DSIproj">#REF!</definedName>
    <definedName name="DSISD">#REF!</definedName>
    <definedName name="DSISDB">#REF!</definedName>
    <definedName name="DSISDG">#REF!</definedName>
    <definedName name="DSP">#REF!</definedName>
    <definedName name="DSPB">#REF!</definedName>
    <definedName name="DSPBproj">#REF!</definedName>
    <definedName name="DSPG">#REF!</definedName>
    <definedName name="DSPGproj">#REF!</definedName>
    <definedName name="DSPproj">#REF!</definedName>
    <definedName name="DSPSD">#REF!</definedName>
    <definedName name="DSPSDB">#REF!</definedName>
    <definedName name="DSPSDG">#REF!</definedName>
    <definedName name="DVE">#REF!</definedName>
    <definedName name="DVE_S">#REF!</definedName>
    <definedName name="DVEB">#REF!</definedName>
    <definedName name="DVEG">#REF!</definedName>
    <definedName name="EBRD">#REF!</definedName>
    <definedName name="EDNA">#REF!</definedName>
    <definedName name="EF_7D">#REF!</definedName>
    <definedName name="EF_7DB">#REF!</definedName>
    <definedName name="EF_7DG">#REF!</definedName>
    <definedName name="empty">#REF!</definedName>
    <definedName name="ENDA">[8]Q6!$E$201:$AH$201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EB_6">#REF!</definedName>
    <definedName name="GGB_NGDP">#N/A</definedName>
    <definedName name="GLAC">#REF!</definedName>
    <definedName name="GLJL">#REF!</definedName>
    <definedName name="Grace_IDA">[11]NPV!$B$25</definedName>
    <definedName name="Grace_NC">[11]NPV!#REF!</definedName>
    <definedName name="HEADING">#REF!</definedName>
    <definedName name="IDAr">#REF!</definedName>
    <definedName name="IDRO_7D">#REF!</definedName>
    <definedName name="IFSASSETS">#REF!</definedName>
    <definedName name="IFSLIABS">#REF!</definedName>
    <definedName name="IM">#REF!</definedName>
    <definedName name="IMF">#REF!</definedName>
    <definedName name="IN">#REF!</definedName>
    <definedName name="INPUT_2">[7]Input!#REF!</definedName>
    <definedName name="INPUT_4">[7]Input!#REF!</definedName>
    <definedName name="Interest_IDA">[11]NPV!$B$27</definedName>
    <definedName name="Interest_NC">[11]NPV!#REF!</definedName>
    <definedName name="InterestRate">#REF!</definedName>
    <definedName name="LCM">#REF!</definedName>
    <definedName name="LE">#REF!</definedName>
    <definedName name="LEM">#REF!</definedName>
    <definedName name="LHEM">#REF!</definedName>
    <definedName name="LHM">#REF!</definedName>
    <definedName name="LINES">#REF!</definedName>
    <definedName name="LIPM">#REF!</definedName>
    <definedName name="LLF">#REF!</definedName>
    <definedName name="LTcirr">#REF!</definedName>
    <definedName name="LTr">#REF!</definedName>
    <definedName name="LULCM">#REF!</definedName>
    <definedName name="LUR">#REF!</definedName>
    <definedName name="lvTMGXO_Dcalc2">#REF!</definedName>
    <definedName name="lvTXGXO_Dcalc2">#REF!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#REF!</definedName>
    <definedName name="MCV_B">[8]Q6!$E$210:$AH$210</definedName>
    <definedName name="MCV_B1">#REF!</definedName>
    <definedName name="MCV_D">#REF!</definedName>
    <definedName name="MCV_D1">#REF!</definedName>
    <definedName name="MCV_N">#REF!</definedName>
    <definedName name="MCV_T">#REF!</definedName>
    <definedName name="MCV_T1">#REF!</definedName>
    <definedName name="mflowsa">[4]!mflowsa</definedName>
    <definedName name="mflowsq">[4]!mflowsq</definedName>
    <definedName name="MIDDLE">#REF!</definedName>
    <definedName name="MISC4">[7]OUTPUT!#REF!</definedName>
    <definedName name="mstocksa">[4]!mstocksa</definedName>
    <definedName name="mstocksq">[4]!mstocksq</definedName>
    <definedName name="n">#REF!</definedName>
    <definedName name="NAMES">#REF!</definedName>
    <definedName name="NC_R">#REF!</definedName>
    <definedName name="NCG">#REF!</definedName>
    <definedName name="NCG_R">#REF!</definedName>
    <definedName name="NCP">#REF!</definedName>
    <definedName name="NCP_R">#REF!</definedName>
    <definedName name="NEF_6">#REF!</definedName>
    <definedName name="NEWSHEET">#REF!</definedName>
    <definedName name="NFB_R">#REF!</definedName>
    <definedName name="NFB_R_GDP">#REF!</definedName>
    <definedName name="NFI">#REF!</definedName>
    <definedName name="NFI_R">#REF!</definedName>
    <definedName name="NFIG">#REF!</definedName>
    <definedName name="NFIP">#REF!</definedName>
    <definedName name="NGDP">#REF!</definedName>
    <definedName name="NGDP_D">#REF!</definedName>
    <definedName name="NGDP_DG">#REF!</definedName>
    <definedName name="NGDP_R">#REF!</definedName>
    <definedName name="NGDP_RG">#REF!</definedName>
    <definedName name="NGS">#REF!</definedName>
    <definedName name="NGS_NGDP">#REF!</definedName>
    <definedName name="NGSG">#REF!</definedName>
    <definedName name="NGSP">#REF!</definedName>
    <definedName name="NI">#REF!</definedName>
    <definedName name="NI_GDP">#REF!</definedName>
    <definedName name="NI_NGDP">#REF!</definedName>
    <definedName name="NI_R">#REF!</definedName>
    <definedName name="NINV">#REF!</definedName>
    <definedName name="NINV_R">#REF!</definedName>
    <definedName name="NINV_R_GDP">#REF!</definedName>
    <definedName name="NM">#REF!</definedName>
    <definedName name="NM_R">#REF!</definedName>
    <definedName name="NMG">#REF!</definedName>
    <definedName name="NMG_R">#REF!</definedName>
    <definedName name="NMG_RG">#REF!</definedName>
    <definedName name="NMS">#REF!</definedName>
    <definedName name="NMS_R">#REF!</definedName>
    <definedName name="Notes">#REF!</definedName>
    <definedName name="NOTITLES">#REF!</definedName>
    <definedName name="NTDD_R">#REF!</definedName>
    <definedName name="NTDD_RG">#REF!</definedName>
    <definedName name="NX">#REF!</definedName>
    <definedName name="NX_R">#REF!</definedName>
    <definedName name="NXG">#REF!</definedName>
    <definedName name="NXG_R">#REF!</definedName>
    <definedName name="NXG_RG">#REF!</definedName>
    <definedName name="NXS">#REF!</definedName>
    <definedName name="NXS_R">#REF!</definedName>
    <definedName name="OAT_6">#REF!</definedName>
    <definedName name="OECD_Table">#REF!</definedName>
    <definedName name="OEF_7D">#REF!</definedName>
    <definedName name="OEF_7DB">#REF!</definedName>
    <definedName name="OEF_7DG">#REF!</definedName>
    <definedName name="Ops">#REF!</definedName>
    <definedName name="ouut" hidden="1">{"srtot",#N/A,FALSE,"SR";"b2.9095",#N/A,FALSE,"SR"}</definedName>
    <definedName name="PA_7D">#REF!</definedName>
    <definedName name="PA_7DB">#REF!</definedName>
    <definedName name="PA_7DG">#REF!</definedName>
    <definedName name="Paym_Cap">#REF!</definedName>
    <definedName name="pchBM">[8]Q6!$E$19:$AH$19</definedName>
    <definedName name="pchBMG">[8]Q6!$E$30:$AH$30</definedName>
    <definedName name="pchBX">[8]Q6!$E$16:$AH$16</definedName>
    <definedName name="pchBXG">[8]Q6!$E$27:$AH$27</definedName>
    <definedName name="pchNM_R">#REF!</definedName>
    <definedName name="pchNMG_R">#REF!</definedName>
    <definedName name="pchNX_R">#REF!</definedName>
    <definedName name="pchNXG_R">#REF!</definedName>
    <definedName name="pchTX_D">#REF!</definedName>
    <definedName name="pchTXG_D">#REF!</definedName>
    <definedName name="pchWPCP33_D">#REF!</definedName>
    <definedName name="PCPI">#REF!</definedName>
    <definedName name="PCPIE">#REF!</definedName>
    <definedName name="PCPIG">#REF!</definedName>
    <definedName name="PFP">#REF!</definedName>
    <definedName name="pfp_table1">#REF!</definedName>
    <definedName name="PPPWGT">#REF!</definedName>
    <definedName name="PRICE">#REF!</definedName>
    <definedName name="PRICETAB">#REF!</definedName>
    <definedName name="_xlnm.Print_Area" localSheetId="0">'FOR MIDIA'!$A$1:$O$53</definedName>
    <definedName name="_xlnm.Print_Area">#REF!</definedName>
    <definedName name="PRINT_AREA_MI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'[13]2003'!#REF!</definedName>
    <definedName name="PRYEAR">#REF!</definedName>
    <definedName name="Q_5">#REF!</definedName>
    <definedName name="Q_6">#REF!</definedName>
    <definedName name="Q_7">#REF!</definedName>
    <definedName name="QFISCAL">'[14]Quarterly Raw Data'!#REF!</definedName>
    <definedName name="qqq" hidden="1">{#N/A,#N/A,FALSE,"EXTRABUDGT"}</definedName>
    <definedName name="Qry_Month_Activity_Army">#REF!</definedName>
    <definedName name="QTAB7">'[14]Quarterly MacroFlow'!#REF!</definedName>
    <definedName name="QTAB7A">'[14]Quarterly MacroFlow'!#REF!</definedName>
    <definedName name="Range_Country">#REF!</definedName>
    <definedName name="Range_DownloadAnnual">[15]Control!$C$4</definedName>
    <definedName name="Range_DownloadDateTime">#REF!</definedName>
    <definedName name="Range_DownloadMonth">[15]Control!$C$2</definedName>
    <definedName name="Range_DownloadQuarter">[15]Control!$C$3</definedName>
    <definedName name="Range_ReportFormName">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Before">[12]Main!$AB$26</definedName>
    <definedName name="rngDepartmentDrive">[12]Main!$AB$23</definedName>
    <definedName name="rngEMailAddress">[12]Main!$AB$20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News">[12]Main!$AB$27</definedName>
    <definedName name="rngQuestChecked">[12]ErrCheck!$A$3</definedName>
    <definedName name="ROP_7D">#REF!</definedName>
    <definedName name="ROP_7DB">#REF!</definedName>
    <definedName name="ROP_7DG">#REF!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[2]BoP!$E$313:$BE$365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calc1">#REF!</definedName>
    <definedName name="TM_Dcalc2">#REF!</definedName>
    <definedName name="TM_DPCH">#REF!</definedName>
    <definedName name="TM_R">#REF!</definedName>
    <definedName name="TM_Rcalc1">#REF!</definedName>
    <definedName name="TM_Rcalc2">#REF!</definedName>
    <definedName name="TM_RPCH">#REF!</definedName>
    <definedName name="TM_TM_D">#REF!</definedName>
    <definedName name="TM_TM_R">#REF!</definedName>
    <definedName name="TMcalc">#REF!</definedName>
    <definedName name="TMG">#REF!</definedName>
    <definedName name="TMG_D">#REF!</definedName>
    <definedName name="TMG_Dcalc1">#REF!</definedName>
    <definedName name="TMG_Dcalc2">#REF!</definedName>
    <definedName name="TMG_DPCH">#REF!</definedName>
    <definedName name="TMG_R">#REF!</definedName>
    <definedName name="TMG_Rcalc1">#REF!</definedName>
    <definedName name="TMG_Rcalc2">#REF!</definedName>
    <definedName name="TMG_RPCH">#REF!</definedName>
    <definedName name="TMG_TMG_D">#REF!</definedName>
    <definedName name="TMG_TMG_R">#REF!</definedName>
    <definedName name="TMGcalc">#REF!</definedName>
    <definedName name="TMGO">#REF!</definedName>
    <definedName name="TMGO_D">#REF!</definedName>
    <definedName name="TMGO_Dcalc1">#REF!</definedName>
    <definedName name="TMGO_Dcalc2">#REF!</definedName>
    <definedName name="TMGO_DPCH">#REF!</definedName>
    <definedName name="TMGO_R">#REF!</definedName>
    <definedName name="TMGO_Rcalc1">#REF!</definedName>
    <definedName name="TMGO_Rcalc2">#REF!</definedName>
    <definedName name="TMGO_RPCH">#REF!</definedName>
    <definedName name="TMGO_TMGO_D">#REF!</definedName>
    <definedName name="TMGO_TMGO_R">#REF!</definedName>
    <definedName name="TMGO_WPCP33_D">#REF!</definedName>
    <definedName name="TMGXO">#REF!</definedName>
    <definedName name="TMGXO_D">#REF!</definedName>
    <definedName name="TMGXO_Dcalc1">#REF!</definedName>
    <definedName name="TMGXO_Dcalc2">#REF!</definedName>
    <definedName name="TMGXO_DPCH">#REF!</definedName>
    <definedName name="TMGXO_lvTMGXO_Dcalc2">#REF!</definedName>
    <definedName name="TMGXO_R">#REF!</definedName>
    <definedName name="TMGXO_Rcalc1">#REF!</definedName>
    <definedName name="TMGXO_Rcalc2">#REF!</definedName>
    <definedName name="TMGXO_RPCH">#REF!</definedName>
    <definedName name="TMGXO_TMGXO_D">#REF!</definedName>
    <definedName name="TMGXO_TMGXO_R">#REF!</definedName>
    <definedName name="TMS">#REF!</definedName>
    <definedName name="TMS_D">#REF!</definedName>
    <definedName name="TMS_R">#REF!</definedName>
    <definedName name="TOC">#REF!</definedName>
    <definedName name="Trade">#REF!</definedName>
    <definedName name="TRADE3">[7]Trade!#REF!</definedName>
    <definedName name="TX">#REF!</definedName>
    <definedName name="TX_D">#REF!</definedName>
    <definedName name="TX_Dcalc1">#REF!</definedName>
    <definedName name="TX_Dcalc2">#REF!</definedName>
    <definedName name="TX_DPCH">#REF!</definedName>
    <definedName name="TX_R">#REF!</definedName>
    <definedName name="TX_Rcalc1">#REF!</definedName>
    <definedName name="TX_Rcalc2">#REF!</definedName>
    <definedName name="TX_RPCH">#REF!</definedName>
    <definedName name="TX_TX_D">#REF!</definedName>
    <definedName name="TX_TX_R">#REF!</definedName>
    <definedName name="TXcalc">#REF!</definedName>
    <definedName name="TXG">#REF!</definedName>
    <definedName name="TXG_D">#REF!</definedName>
    <definedName name="TXG_Dcalc1">#REF!</definedName>
    <definedName name="TXG_Dcalc2">#REF!</definedName>
    <definedName name="TXG_DPCH">#REF!</definedName>
    <definedName name="TXG_R">#REF!</definedName>
    <definedName name="TXG_Rcalc1">#REF!</definedName>
    <definedName name="TXG_Rcalc2">#REF!</definedName>
    <definedName name="TXG_RPCH">#REF!</definedName>
    <definedName name="TXG_TXG_D">#REF!</definedName>
    <definedName name="TXG_TXG_R">#REF!</definedName>
    <definedName name="TXGcalc">#REF!</definedName>
    <definedName name="TXGO">#REF!</definedName>
    <definedName name="TXGO_D">#REF!</definedName>
    <definedName name="TXGO_Dcalc1">#REF!</definedName>
    <definedName name="TXGO_Dcalc2">#REF!</definedName>
    <definedName name="TXGO_DPCH">#REF!</definedName>
    <definedName name="TXGO_R">#REF!</definedName>
    <definedName name="TXGO_Rcalc1">#REF!</definedName>
    <definedName name="TXGO_Rcalc2">#REF!</definedName>
    <definedName name="TXGO_RPCH">#REF!</definedName>
    <definedName name="TXGO_TXGO_D">#REF!</definedName>
    <definedName name="TXGO_TXGO_R">#REF!</definedName>
    <definedName name="TXGO_WPCP33_D">#REF!</definedName>
    <definedName name="TXGXO">#REF!</definedName>
    <definedName name="TXGXO_D">#REF!</definedName>
    <definedName name="TXGXO_Dcalc1">#REF!</definedName>
    <definedName name="TXGXO_Dcalc2">#REF!</definedName>
    <definedName name="TXGXO_DPCH">#REF!</definedName>
    <definedName name="TXGXO_lvTXGXO_Dcalc2">#REF!</definedName>
    <definedName name="TXGXO_R">#REF!</definedName>
    <definedName name="TXGXO_Rcalc1">#REF!</definedName>
    <definedName name="TXGXO_Rcalc2">#REF!</definedName>
    <definedName name="TXGXO_RPCH">#REF!</definedName>
    <definedName name="TXGXO_TXGXO_D">#REF!</definedName>
    <definedName name="TXGXO_TXGXO_R">#REF!</definedName>
    <definedName name="TXS">#REF!</definedName>
    <definedName name="TXS_D">#REF!</definedName>
    <definedName name="TXS_R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nvoie." hidden="1">{#N/A,#N/A,TRUE,"garde";#N/A,#N/A,TRUE,"Feuil1";#N/A,#N/A,TRUE,"tableau";#N/A,#N/A,TRUE,"annquinz";#N/A,#N/A,TRUE,"graf1";#N/A,#N/A,TRUE,"graf2"}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Table." hidden="1">{#N/A,#N/A,FALSE,"BOP-input"}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est." hidden="1">{"srtot",#N/A,FALSE,"SR";"b2.9095",#N/A,FALSE,"SR"}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45621"/>
</workbook>
</file>

<file path=xl/calcChain.xml><?xml version="1.0" encoding="utf-8"?>
<calcChain xmlns="http://schemas.openxmlformats.org/spreadsheetml/2006/main">
  <c r="N4" i="1" l="1"/>
  <c r="K53" i="1" l="1"/>
  <c r="J53" i="1"/>
  <c r="I53" i="1"/>
  <c r="N52" i="1"/>
  <c r="N53" i="1" s="1"/>
  <c r="M52" i="1"/>
  <c r="M53" i="1" s="1"/>
  <c r="L52" i="1"/>
  <c r="L53" i="1" s="1"/>
  <c r="M51" i="1"/>
  <c r="J51" i="1"/>
  <c r="O50" i="1"/>
  <c r="O51" i="1" s="1"/>
  <c r="N50" i="1"/>
  <c r="N51" i="1" s="1"/>
  <c r="K50" i="1"/>
  <c r="K51" i="1" s="1"/>
  <c r="I50" i="1"/>
  <c r="I51" i="1" s="1"/>
  <c r="N49" i="1"/>
  <c r="M49" i="1"/>
  <c r="J49" i="1"/>
  <c r="I48" i="1"/>
  <c r="L48" i="1" s="1"/>
  <c r="O47" i="1"/>
  <c r="K47" i="1"/>
  <c r="I47" i="1"/>
  <c r="O46" i="1"/>
  <c r="O49" i="1" s="1"/>
  <c r="K46" i="1"/>
  <c r="K49" i="1" s="1"/>
  <c r="I46" i="1"/>
  <c r="N45" i="1"/>
  <c r="J45" i="1"/>
  <c r="I45" i="1"/>
  <c r="M44" i="1"/>
  <c r="M45" i="1" s="1"/>
  <c r="K44" i="1"/>
  <c r="L44" i="1" s="1"/>
  <c r="L45" i="1" s="1"/>
  <c r="K42" i="1"/>
  <c r="O42" i="1" s="1"/>
  <c r="I42" i="1"/>
  <c r="I41" i="1"/>
  <c r="K41" i="1" s="1"/>
  <c r="O41" i="1" s="1"/>
  <c r="M40" i="1"/>
  <c r="J40" i="1"/>
  <c r="I40" i="1"/>
  <c r="K40" i="1" s="1"/>
  <c r="N39" i="1"/>
  <c r="N43" i="1" s="1"/>
  <c r="M39" i="1"/>
  <c r="J39" i="1"/>
  <c r="I39" i="1"/>
  <c r="K39" i="1" s="1"/>
  <c r="O39" i="1" s="1"/>
  <c r="J38" i="1"/>
  <c r="O37" i="1"/>
  <c r="N37" i="1"/>
  <c r="M37" i="1"/>
  <c r="I37" i="1"/>
  <c r="K37" i="1" s="1"/>
  <c r="O36" i="1"/>
  <c r="N36" i="1"/>
  <c r="M36" i="1"/>
  <c r="K36" i="1"/>
  <c r="L36" i="1" s="1"/>
  <c r="I36" i="1"/>
  <c r="O35" i="1"/>
  <c r="N35" i="1"/>
  <c r="M35" i="1"/>
  <c r="I35" i="1"/>
  <c r="K35" i="1" s="1"/>
  <c r="O34" i="1"/>
  <c r="N34" i="1"/>
  <c r="M34" i="1"/>
  <c r="I34" i="1"/>
  <c r="O33" i="1"/>
  <c r="N33" i="1"/>
  <c r="M33" i="1"/>
  <c r="I33" i="1"/>
  <c r="K33" i="1" s="1"/>
  <c r="O32" i="1"/>
  <c r="N32" i="1"/>
  <c r="M32" i="1"/>
  <c r="I32" i="1"/>
  <c r="K32" i="1" s="1"/>
  <c r="L32" i="1" s="1"/>
  <c r="O31" i="1"/>
  <c r="N31" i="1"/>
  <c r="M31" i="1"/>
  <c r="I31" i="1"/>
  <c r="K31" i="1" s="1"/>
  <c r="O30" i="1"/>
  <c r="N30" i="1"/>
  <c r="M30" i="1"/>
  <c r="I30" i="1"/>
  <c r="O29" i="1"/>
  <c r="N29" i="1"/>
  <c r="M29" i="1"/>
  <c r="I29" i="1"/>
  <c r="K29" i="1" s="1"/>
  <c r="O28" i="1"/>
  <c r="N28" i="1"/>
  <c r="M28" i="1"/>
  <c r="I28" i="1"/>
  <c r="K28" i="1" s="1"/>
  <c r="L28" i="1" s="1"/>
  <c r="O27" i="1"/>
  <c r="N27" i="1"/>
  <c r="M27" i="1"/>
  <c r="I27" i="1"/>
  <c r="K27" i="1" s="1"/>
  <c r="N26" i="1"/>
  <c r="I25" i="1"/>
  <c r="L25" i="1" s="1"/>
  <c r="I24" i="1"/>
  <c r="L24" i="1" s="1"/>
  <c r="O23" i="1"/>
  <c r="K23" i="1"/>
  <c r="I23" i="1"/>
  <c r="L23" i="1" s="1"/>
  <c r="O22" i="1"/>
  <c r="M22" i="1"/>
  <c r="K22" i="1"/>
  <c r="I22" i="1"/>
  <c r="O21" i="1"/>
  <c r="M21" i="1"/>
  <c r="J21" i="1"/>
  <c r="J26" i="1" s="1"/>
  <c r="I21" i="1"/>
  <c r="K21" i="1" s="1"/>
  <c r="L21" i="1" s="1"/>
  <c r="I19" i="1"/>
  <c r="L19" i="1" s="1"/>
  <c r="O18" i="1"/>
  <c r="N18" i="1"/>
  <c r="I18" i="1"/>
  <c r="L18" i="1" s="1"/>
  <c r="O17" i="1"/>
  <c r="N17" i="1"/>
  <c r="M17" i="1"/>
  <c r="J17" i="1"/>
  <c r="I17" i="1"/>
  <c r="O16" i="1"/>
  <c r="N16" i="1"/>
  <c r="M16" i="1"/>
  <c r="J16" i="1"/>
  <c r="I16" i="1"/>
  <c r="O15" i="1"/>
  <c r="N15" i="1"/>
  <c r="M15" i="1"/>
  <c r="J15" i="1"/>
  <c r="K15" i="1" s="1"/>
  <c r="I15" i="1"/>
  <c r="O14" i="1"/>
  <c r="O20" i="1" s="1"/>
  <c r="N14" i="1"/>
  <c r="M14" i="1"/>
  <c r="J14" i="1"/>
  <c r="I14" i="1"/>
  <c r="O12" i="1"/>
  <c r="N12" i="1"/>
  <c r="M12" i="1"/>
  <c r="J12" i="1"/>
  <c r="I12" i="1"/>
  <c r="O11" i="1"/>
  <c r="N11" i="1"/>
  <c r="M11" i="1"/>
  <c r="J11" i="1"/>
  <c r="I11" i="1"/>
  <c r="O10" i="1"/>
  <c r="N10" i="1"/>
  <c r="I10" i="1"/>
  <c r="K10" i="1" s="1"/>
  <c r="L10" i="1" s="1"/>
  <c r="O9" i="1"/>
  <c r="N9" i="1"/>
  <c r="M9" i="1"/>
  <c r="J9" i="1"/>
  <c r="I9" i="1"/>
  <c r="K9" i="1" s="1"/>
  <c r="O8" i="1"/>
  <c r="N8" i="1"/>
  <c r="M8" i="1"/>
  <c r="J8" i="1"/>
  <c r="I8" i="1"/>
  <c r="K8" i="1" s="1"/>
  <c r="L8" i="1" s="1"/>
  <c r="O7" i="1"/>
  <c r="N7" i="1"/>
  <c r="M7" i="1"/>
  <c r="J7" i="1"/>
  <c r="I7" i="1"/>
  <c r="O6" i="1"/>
  <c r="N6" i="1"/>
  <c r="M6" i="1"/>
  <c r="J6" i="1"/>
  <c r="I6" i="1"/>
  <c r="O5" i="1"/>
  <c r="N5" i="1"/>
  <c r="M5" i="1"/>
  <c r="J5" i="1"/>
  <c r="I5" i="1"/>
  <c r="O4" i="1"/>
  <c r="O13" i="1" s="1"/>
  <c r="M4" i="1"/>
  <c r="J4" i="1"/>
  <c r="I4" i="1"/>
  <c r="K17" i="1" l="1"/>
  <c r="K7" i="1"/>
  <c r="L42" i="1"/>
  <c r="O38" i="1"/>
  <c r="L47" i="1"/>
  <c r="K6" i="1"/>
  <c r="N20" i="1"/>
  <c r="K16" i="1"/>
  <c r="M26" i="1"/>
  <c r="K45" i="1"/>
  <c r="L50" i="1"/>
  <c r="L51" i="1" s="1"/>
  <c r="K30" i="1"/>
  <c r="L30" i="1" s="1"/>
  <c r="L7" i="1"/>
  <c r="M20" i="1"/>
  <c r="I43" i="1"/>
  <c r="I49" i="1"/>
  <c r="O52" i="1"/>
  <c r="O53" i="1" s="1"/>
  <c r="K4" i="1"/>
  <c r="L4" i="1" s="1"/>
  <c r="K12" i="1"/>
  <c r="M38" i="1"/>
  <c r="J43" i="1"/>
  <c r="I20" i="1"/>
  <c r="N38" i="1"/>
  <c r="L20" i="1"/>
  <c r="M13" i="1"/>
  <c r="O26" i="1"/>
  <c r="K34" i="1"/>
  <c r="L34" i="1" s="1"/>
  <c r="L39" i="1"/>
  <c r="L41" i="1"/>
  <c r="O44" i="1"/>
  <c r="O45" i="1" s="1"/>
  <c r="N13" i="1"/>
  <c r="N54" i="1" s="1"/>
  <c r="J13" i="1"/>
  <c r="I26" i="1"/>
  <c r="M43" i="1"/>
  <c r="O40" i="1"/>
  <c r="O43" i="1" s="1"/>
  <c r="K43" i="1"/>
  <c r="M54" i="1"/>
  <c r="K5" i="1"/>
  <c r="L6" i="1"/>
  <c r="K11" i="1"/>
  <c r="L11" i="1" s="1"/>
  <c r="L12" i="1"/>
  <c r="L22" i="1"/>
  <c r="L26" i="1" s="1"/>
  <c r="L29" i="1"/>
  <c r="L33" i="1"/>
  <c r="L37" i="1"/>
  <c r="J20" i="1"/>
  <c r="J54" i="1" s="1"/>
  <c r="L9" i="1"/>
  <c r="K26" i="1"/>
  <c r="L40" i="1"/>
  <c r="L43" i="1" s="1"/>
  <c r="K14" i="1"/>
  <c r="K20" i="1" s="1"/>
  <c r="I13" i="1"/>
  <c r="L27" i="1"/>
  <c r="L31" i="1"/>
  <c r="L35" i="1"/>
  <c r="I38" i="1"/>
  <c r="L46" i="1"/>
  <c r="L49" i="1" s="1"/>
  <c r="I54" i="1" l="1"/>
  <c r="O54" i="1"/>
  <c r="K13" i="1"/>
  <c r="K38" i="1"/>
  <c r="L38" i="1"/>
  <c r="L5" i="1"/>
  <c r="L13" i="1" s="1"/>
  <c r="L54" i="1" s="1"/>
  <c r="K54" i="1" l="1"/>
</calcChain>
</file>

<file path=xl/sharedStrings.xml><?xml version="1.0" encoding="utf-8"?>
<sst xmlns="http://schemas.openxmlformats.org/spreadsheetml/2006/main" count="134" uniqueCount="78">
  <si>
    <t>جدول معلومات قروض دولت از منابع ملی و بین المللی</t>
  </si>
  <si>
    <t>شماره</t>
  </si>
  <si>
    <t>نهاد قرضه
دهنده</t>
  </si>
  <si>
    <t>اسم پروژه</t>
  </si>
  <si>
    <t>واحد
پولی</t>
  </si>
  <si>
    <t>تاریخ شروع قراداد قرضه</t>
  </si>
  <si>
    <t>تاریخ ختم قرارداد قرضه</t>
  </si>
  <si>
    <t>نرخ تکتانه</t>
  </si>
  <si>
    <t>تعهد شده</t>
  </si>
  <si>
    <t>کنسل شده</t>
  </si>
  <si>
    <t>مبالغ قروض
دریافت شده</t>
  </si>
  <si>
    <t>باقی مانده</t>
  </si>
  <si>
    <t>باز پرداخت قروض</t>
  </si>
  <si>
    <t>باقی مقروضیت از
مبالغ استفاده شده</t>
  </si>
  <si>
    <t xml:space="preserve">اقساط قرضه </t>
  </si>
  <si>
    <t>مصارف اداری
(تکتانه)</t>
  </si>
  <si>
    <t>بانک جهانی</t>
  </si>
  <si>
    <t>Emergency Transportation Rehabilitation</t>
  </si>
  <si>
    <t>USD</t>
  </si>
  <si>
    <t>National Emergency Employment Program for Rural Access</t>
  </si>
  <si>
    <t>Emergency Communication Development</t>
  </si>
  <si>
    <t>Emergency Cuostoms Medernization and Trade Facilitation</t>
  </si>
  <si>
    <t>Emergency Irrigation Rehabilitation</t>
  </si>
  <si>
    <t>Emergency Power Rehabilitation Project</t>
  </si>
  <si>
    <t>Programmatic Support for Institution Building</t>
  </si>
  <si>
    <t>Kabul Urban Reconstruction Project</t>
  </si>
  <si>
    <t>Afghanistan Investment Guarantee Facilit</t>
  </si>
  <si>
    <t>مجموع</t>
  </si>
  <si>
    <t>بانک انکشاف
اسلامی</t>
  </si>
  <si>
    <t>Doshi pol-e-Khumri Road</t>
  </si>
  <si>
    <t>Amount Based</t>
  </si>
  <si>
    <t>Andkhoy to Aqina Road</t>
  </si>
  <si>
    <t>Regional Power Transmission Interconnection</t>
  </si>
  <si>
    <t>Rehabilitation and Upgrading of Irrigation and Water Resource Management</t>
  </si>
  <si>
    <t>Kabul Ring Road Step   1</t>
  </si>
  <si>
    <t>Kabul Ring Road Step   2</t>
  </si>
  <si>
    <t>سعودی فند</t>
  </si>
  <si>
    <t>Kabul Kandahar to Hirat Road</t>
  </si>
  <si>
    <t>Armalik Sabzak to Qalainaw Roand</t>
  </si>
  <si>
    <t>Armalik Sabzak to Qalainaw Roand Additional Loan</t>
  </si>
  <si>
    <t>Kabul Ring Road Project First Stage</t>
  </si>
  <si>
    <t>Construction of Schools Project in Afghanistan</t>
  </si>
  <si>
    <t>بانک انکشاف 
آسیایی</t>
  </si>
  <si>
    <t>Postconflict Multi Sector Program</t>
  </si>
  <si>
    <t>ADB1954AFG PMPL Loan</t>
  </si>
  <si>
    <t>Emergency Infra Rehab and Recon</t>
  </si>
  <si>
    <t xml:space="preserve">ADB1997AFGEmergInfrasRehReco  </t>
  </si>
  <si>
    <t>Agriculture Sector Program</t>
  </si>
  <si>
    <t xml:space="preserve">ADB2083AFG AgricSectProg  </t>
  </si>
  <si>
    <t>Regional Airport Rehabilitation Phase1</t>
  </si>
  <si>
    <t>ADB2105AFGReg Airport Rehab-Ph 1</t>
  </si>
  <si>
    <t>Andkhoy Qaisar Road</t>
  </si>
  <si>
    <t>Power Transmissin and Distrb</t>
  </si>
  <si>
    <t>Fiscal Management and Public Admin Reform</t>
  </si>
  <si>
    <t>Western Basins Water Resc.Magmt</t>
  </si>
  <si>
    <t>North-South Corridor</t>
  </si>
  <si>
    <t>Regional Power Transmision. Int. Connection</t>
  </si>
  <si>
    <t>صندوق وجهی
 بین اللمللی
 بول (IMF)</t>
  </si>
  <si>
    <t>Pverty Reduction and Growth Facility (PRGF)</t>
  </si>
  <si>
    <t>Extended Facility Program (ECF)</t>
  </si>
  <si>
    <t>Rapid Credit Facility (RCF)</t>
  </si>
  <si>
    <t>Extended Credit Facility (ECF)</t>
  </si>
  <si>
    <t>کشور بلغاریا</t>
  </si>
  <si>
    <t>Government of Bugaria post HIPC Reschatualed Arrears</t>
  </si>
  <si>
    <t>کشور ایتالیا</t>
  </si>
  <si>
    <t>Upgrade of Hirat Airport</t>
  </si>
  <si>
    <t>Hirat to Chist-e-sharif Road</t>
  </si>
  <si>
    <t>Khaf Heart Railway Forth Segment Second Phase</t>
  </si>
  <si>
    <t>کویت فند</t>
  </si>
  <si>
    <t>Rescheduled Kuwit fund</t>
  </si>
  <si>
    <t>اوپک فند</t>
  </si>
  <si>
    <t>Rescheduled OPEC Fund For Int Development Loan</t>
  </si>
  <si>
    <t>جمع کل</t>
  </si>
  <si>
    <t>Note: Foreign exchange rates are available from the Data sub-tab of the Reference tab.As of 20-Dec-2020</t>
  </si>
  <si>
    <t>1 Euro equals 1.23 United States Dollars</t>
  </si>
  <si>
    <t>1 Special Drawing Rights equals 1.44 United States Dollars</t>
  </si>
  <si>
    <t>1 Kuwaiti Dinars equals 3.29 United States Dollars</t>
  </si>
  <si>
    <t>1 Saudi Arabian Riyals equals 0.27 United States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</si>
</sst>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[$-3000401]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0.0"/>
    <numFmt numFmtId="172" formatCode="&quot;£&quot;#,##0;\-&quot;£&quot;#,##0"/>
    <numFmt numFmtId="173" formatCode="_-* #,##0.00_-;_-* #,##0.00\-;_-* &quot;-&quot;??_-;_-@_-"/>
    <numFmt numFmtId="174" formatCode="##,##0.0000"/>
    <numFmt numFmtId="175" formatCode="_(* #,##0_);_(* \(#,##0\);_(* &quot;-&quot;??_);_(@_)"/>
    <numFmt numFmtId="176" formatCode="_([$€-2]* #,##0.00_);_([$€-2]* \(#,##0.00\);_([$€-2]* &quot;-&quot;??_)"/>
    <numFmt numFmtId="177" formatCode="#,##0.0"/>
    <numFmt numFmtId="178" formatCode="_-* #,##0_-;\-* #,##0_-;_-* &quot;-&quot;_-;_-@_-"/>
    <numFmt numFmtId="179" formatCode="_-* #,##0.00_-;\-* #,##0.00_-;_-* &quot;-&quot;??_-;_-@_-"/>
    <numFmt numFmtId="180" formatCode="_-&quot;¢&quot;* #,##0_-;\-&quot;¢&quot;* #,##0_-;_-&quot;¢&quot;* &quot;-&quot;_-;_-@_-"/>
    <numFmt numFmtId="181" formatCode="_-&quot;¢&quot;* #,##0.00_-;\-&quot;¢&quot;* #,##0.00_-;_-&quot;¢&quot;* &quot;-&quot;??_-;_-@_-"/>
    <numFmt numFmtId="182" formatCode="_(* #,##0.0000_);_(* \(#,##0.0000\);_(* &quot;-&quot;??_);_(@_)"/>
    <numFmt numFmtId="183" formatCode="[&gt;=0.05]#,##0.0;[&lt;=-0.05]\-#,##0.0;?0.0"/>
    <numFmt numFmtId="184" formatCode="[Black][&gt;0.05]#,##0.0;[Black][&lt;-0.05]\-#,##0.0;;"/>
    <numFmt numFmtId="185" formatCode="[Black][&gt;0.5]#,##0;[Black][&lt;-0.5]\-#,##0;;"/>
    <numFmt numFmtId="186" formatCode="\$#,##0.00\ ;\(\$#,##0.00\)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B Nazanin"/>
      <charset val="178"/>
    </font>
    <font>
      <b/>
      <sz val="16"/>
      <color theme="1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sz val="11"/>
      <name val="B Nazanin"/>
      <charset val="178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B Nazanin"/>
      <charset val="178"/>
    </font>
    <font>
      <sz val="10"/>
      <name val="Arial"/>
      <family val="2"/>
    </font>
    <font>
      <sz val="11"/>
      <color theme="1"/>
      <name val="B Nazanin"/>
      <charset val="178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</font>
    <font>
      <sz val="11"/>
      <color indexed="9"/>
      <name val="Calibri"/>
      <family val="2"/>
      <charset val="178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78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Helv"/>
    </font>
    <font>
      <sz val="12"/>
      <name val="Times New Roman"/>
      <family val="1"/>
    </font>
    <font>
      <sz val="10"/>
      <name val="Geneva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78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</font>
    <font>
      <sz val="11"/>
      <color indexed="60"/>
      <name val="Calibri"/>
      <family val="2"/>
      <charset val="178"/>
    </font>
    <font>
      <sz val="10"/>
      <name val="Tms Rmn"/>
    </font>
    <font>
      <sz val="12"/>
      <name val="Tms Rmn"/>
    </font>
    <font>
      <sz val="10"/>
      <color indexed="8"/>
      <name val="Arial"/>
      <family val="2"/>
    </font>
    <font>
      <sz val="11"/>
      <color theme="1"/>
      <name val="Calibri"/>
      <family val="2"/>
      <charset val="178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78"/>
    </font>
    <font>
      <sz val="12"/>
      <name val="Univers (WN)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</font>
    <font>
      <sz val="11"/>
      <color indexed="10"/>
      <name val="Calibri"/>
      <family val="2"/>
      <charset val="17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5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170" fontId="18" fillId="0" borderId="0" applyFon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0" borderId="0">
      <alignment horizontal="left" wrapText="1"/>
    </xf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22" borderId="11" applyNumberFormat="0" applyAlignment="0" applyProtection="0"/>
    <xf numFmtId="0" fontId="26" fillId="22" borderId="11" applyNumberFormat="0" applyAlignment="0" applyProtection="0"/>
    <xf numFmtId="0" fontId="27" fillId="22" borderId="11" applyNumberFormat="0" applyAlignment="0" applyProtection="0"/>
    <xf numFmtId="0" fontId="26" fillId="22" borderId="11" applyNumberFormat="0" applyAlignment="0" applyProtection="0"/>
    <xf numFmtId="0" fontId="27" fillId="22" borderId="11" applyNumberFormat="0" applyAlignment="0" applyProtection="0"/>
    <xf numFmtId="0" fontId="26" fillId="22" borderId="11" applyNumberFormat="0" applyAlignment="0" applyProtection="0"/>
    <xf numFmtId="0" fontId="27" fillId="22" borderId="11" applyNumberFormat="0" applyAlignment="0" applyProtection="0"/>
    <xf numFmtId="0" fontId="26" fillId="22" borderId="11" applyNumberFormat="0" applyAlignment="0" applyProtection="0"/>
    <xf numFmtId="0" fontId="26" fillId="22" borderId="11" applyNumberFormat="0" applyAlignment="0" applyProtection="0"/>
    <xf numFmtId="0" fontId="27" fillId="22" borderId="11" applyNumberFormat="0" applyAlignment="0" applyProtection="0"/>
    <xf numFmtId="0" fontId="28" fillId="23" borderId="12" applyNumberFormat="0" applyAlignment="0" applyProtection="0"/>
    <xf numFmtId="0" fontId="28" fillId="23" borderId="12" applyNumberFormat="0" applyAlignment="0" applyProtection="0"/>
    <xf numFmtId="0" fontId="29" fillId="23" borderId="12" applyNumberFormat="0" applyAlignment="0" applyProtection="0"/>
    <xf numFmtId="0" fontId="28" fillId="23" borderId="12" applyNumberFormat="0" applyAlignment="0" applyProtection="0"/>
    <xf numFmtId="0" fontId="29" fillId="23" borderId="12" applyNumberFormat="0" applyAlignment="0" applyProtection="0"/>
    <xf numFmtId="0" fontId="28" fillId="23" borderId="12" applyNumberFormat="0" applyAlignment="0" applyProtection="0"/>
    <xf numFmtId="0" fontId="29" fillId="23" borderId="12" applyNumberFormat="0" applyAlignment="0" applyProtection="0"/>
    <xf numFmtId="0" fontId="28" fillId="23" borderId="12" applyNumberFormat="0" applyAlignment="0" applyProtection="0"/>
    <xf numFmtId="0" fontId="28" fillId="23" borderId="12" applyNumberFormat="0" applyAlignment="0" applyProtection="0"/>
    <xf numFmtId="0" fontId="29" fillId="23" borderId="12" applyNumberFormat="0" applyAlignment="0" applyProtection="0"/>
    <xf numFmtId="1" fontId="30" fillId="24" borderId="1">
      <alignment horizontal="right" vertical="center"/>
    </xf>
    <xf numFmtId="0" fontId="31" fillId="24" borderId="1">
      <alignment horizontal="right" vertical="center"/>
    </xf>
    <xf numFmtId="0" fontId="31" fillId="24" borderId="1">
      <alignment horizontal="right" vertical="center"/>
    </xf>
    <xf numFmtId="0" fontId="32" fillId="24" borderId="1">
      <alignment horizontal="right" vertical="center"/>
    </xf>
    <xf numFmtId="0" fontId="33" fillId="24" borderId="1">
      <alignment horizontal="right" vertical="center"/>
    </xf>
    <xf numFmtId="0" fontId="33" fillId="24" borderId="1">
      <alignment horizontal="right" vertical="center"/>
    </xf>
    <xf numFmtId="0" fontId="12" fillId="24" borderId="13"/>
    <xf numFmtId="0" fontId="12" fillId="24" borderId="13"/>
    <xf numFmtId="0" fontId="12" fillId="24" borderId="13"/>
    <xf numFmtId="0" fontId="12" fillId="24" borderId="13"/>
    <xf numFmtId="0" fontId="12" fillId="24" borderId="13"/>
    <xf numFmtId="0" fontId="12" fillId="24" borderId="13"/>
    <xf numFmtId="0" fontId="12" fillId="24" borderId="13"/>
    <xf numFmtId="0" fontId="12" fillId="24" borderId="13"/>
    <xf numFmtId="0" fontId="30" fillId="25" borderId="1">
      <alignment horizontal="center" vertical="center"/>
    </xf>
    <xf numFmtId="0" fontId="30" fillId="26" borderId="1">
      <alignment horizontal="center" vertical="center"/>
    </xf>
    <xf numFmtId="0" fontId="30" fillId="26" borderId="1">
      <alignment horizontal="center" vertical="center"/>
    </xf>
    <xf numFmtId="1" fontId="30" fillId="24" borderId="1">
      <alignment horizontal="right" vertical="center"/>
    </xf>
    <xf numFmtId="0" fontId="31" fillId="24" borderId="1">
      <alignment horizontal="right" vertical="center"/>
    </xf>
    <xf numFmtId="0" fontId="31" fillId="24" borderId="1">
      <alignment horizontal="right" vertical="center"/>
    </xf>
    <xf numFmtId="0" fontId="12" fillId="24" borderId="0"/>
    <xf numFmtId="0" fontId="12" fillId="24" borderId="0"/>
    <xf numFmtId="0" fontId="12" fillId="24" borderId="0"/>
    <xf numFmtId="0" fontId="12" fillId="24" borderId="0"/>
    <xf numFmtId="0" fontId="12" fillId="24" borderId="0"/>
    <xf numFmtId="0" fontId="12" fillId="24" borderId="0"/>
    <xf numFmtId="0" fontId="12" fillId="24" borderId="0"/>
    <xf numFmtId="0" fontId="12" fillId="24" borderId="0"/>
    <xf numFmtId="0" fontId="34" fillId="24" borderId="1">
      <alignment horizontal="left" vertical="center"/>
    </xf>
    <xf numFmtId="0" fontId="34" fillId="24" borderId="1"/>
    <xf numFmtId="0" fontId="32" fillId="24" borderId="1">
      <alignment horizontal="right" vertical="center"/>
    </xf>
    <xf numFmtId="0" fontId="33" fillId="24" borderId="1">
      <alignment horizontal="right" vertical="center"/>
    </xf>
    <xf numFmtId="0" fontId="33" fillId="24" borderId="1">
      <alignment horizontal="right" vertical="center"/>
    </xf>
    <xf numFmtId="0" fontId="35" fillId="27" borderId="1">
      <alignment horizontal="left" vertical="center"/>
    </xf>
    <xf numFmtId="0" fontId="35" fillId="27" borderId="1">
      <alignment horizontal="left" vertical="center"/>
    </xf>
    <xf numFmtId="0" fontId="36" fillId="24" borderId="1">
      <alignment horizontal="left" vertical="center"/>
    </xf>
    <xf numFmtId="0" fontId="37" fillId="24" borderId="1">
      <alignment horizontal="left" vertical="center"/>
    </xf>
    <xf numFmtId="0" fontId="37" fillId="24" borderId="1">
      <alignment horizontal="left" vertical="center"/>
    </xf>
    <xf numFmtId="0" fontId="38" fillId="24" borderId="13"/>
    <xf numFmtId="0" fontId="30" fillId="28" borderId="1">
      <alignment horizontal="left" vertical="center"/>
    </xf>
    <xf numFmtId="0" fontId="30" fillId="25" borderId="1">
      <alignment horizontal="left" vertical="center"/>
    </xf>
    <xf numFmtId="0" fontId="30" fillId="25" borderId="1">
      <alignment horizontal="left"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7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7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6" fillId="6" borderId="0" applyNumberFormat="0" applyBorder="0" applyAlignment="0" applyProtection="0"/>
    <xf numFmtId="0" fontId="45" fillId="6" borderId="0" applyNumberFormat="0" applyBorder="0" applyAlignment="0" applyProtection="0"/>
    <xf numFmtId="0" fontId="46" fillId="6" borderId="0" applyNumberFormat="0" applyBorder="0" applyAlignment="0" applyProtection="0"/>
    <xf numFmtId="0" fontId="45" fillId="6" borderId="0" applyNumberFormat="0" applyBorder="0" applyAlignment="0" applyProtection="0"/>
    <xf numFmtId="0" fontId="46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6" fillId="6" borderId="0" applyNumberFormat="0" applyBorder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8" fillId="0" borderId="0" applyNumberFormat="0" applyFont="0" applyFill="0" applyAlignment="0" applyProtection="0"/>
    <xf numFmtId="0" fontId="48" fillId="0" borderId="0" applyNumberFormat="0" applyFont="0" applyFill="0" applyAlignment="0" applyProtection="0"/>
    <xf numFmtId="0" fontId="49" fillId="0" borderId="14" applyNumberFormat="0" applyFill="0" applyAlignment="0" applyProtection="0"/>
    <xf numFmtId="0" fontId="48" fillId="0" borderId="0" applyNumberFormat="0" applyFont="0" applyFill="0" applyAlignment="0" applyProtection="0"/>
    <xf numFmtId="0" fontId="47" fillId="0" borderId="14" applyNumberFormat="0" applyFill="0" applyAlignment="0" applyProtection="0"/>
    <xf numFmtId="0" fontId="49" fillId="0" borderId="14" applyNumberFormat="0" applyFill="0" applyAlignment="0" applyProtection="0"/>
    <xf numFmtId="0" fontId="47" fillId="0" borderId="14" applyNumberFormat="0" applyFill="0" applyAlignment="0" applyProtection="0"/>
    <xf numFmtId="0" fontId="49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2" fillId="0" borderId="15" applyNumberFormat="0" applyFill="0" applyAlignment="0" applyProtection="0"/>
    <xf numFmtId="0" fontId="51" fillId="0" borderId="0" applyNumberFormat="0" applyFont="0" applyFill="0" applyAlignment="0" applyProtection="0"/>
    <xf numFmtId="0" fontId="50" fillId="0" borderId="15" applyNumberFormat="0" applyFill="0" applyAlignment="0" applyProtection="0"/>
    <xf numFmtId="0" fontId="52" fillId="0" borderId="15" applyNumberFormat="0" applyFill="0" applyAlignment="0" applyProtection="0"/>
    <xf numFmtId="0" fontId="50" fillId="0" borderId="15" applyNumberFormat="0" applyFill="0" applyAlignment="0" applyProtection="0"/>
    <xf numFmtId="0" fontId="52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0" borderId="16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ont="0" applyFill="0" applyBorder="0" applyAlignment="0" applyProtection="0"/>
    <xf numFmtId="0" fontId="56" fillId="0" borderId="0" applyProtection="0"/>
    <xf numFmtId="0" fontId="57" fillId="0" borderId="0" applyNumberFormat="0" applyFill="0" applyBorder="0" applyAlignment="0" applyProtection="0">
      <alignment vertical="top"/>
      <protection locked="0"/>
    </xf>
    <xf numFmtId="177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58" fillId="9" borderId="11" applyNumberFormat="0" applyAlignment="0" applyProtection="0"/>
    <xf numFmtId="0" fontId="58" fillId="9" borderId="11" applyNumberFormat="0" applyAlignment="0" applyProtection="0"/>
    <xf numFmtId="0" fontId="59" fillId="9" borderId="11" applyNumberFormat="0" applyAlignment="0" applyProtection="0"/>
    <xf numFmtId="0" fontId="58" fillId="9" borderId="11" applyNumberFormat="0" applyAlignment="0" applyProtection="0"/>
    <xf numFmtId="0" fontId="59" fillId="9" borderId="11" applyNumberFormat="0" applyAlignment="0" applyProtection="0"/>
    <xf numFmtId="0" fontId="58" fillId="9" borderId="11" applyNumberFormat="0" applyAlignment="0" applyProtection="0"/>
    <xf numFmtId="0" fontId="59" fillId="9" borderId="11" applyNumberFormat="0" applyAlignment="0" applyProtection="0"/>
    <xf numFmtId="0" fontId="58" fillId="9" borderId="11" applyNumberFormat="0" applyAlignment="0" applyProtection="0"/>
    <xf numFmtId="0" fontId="58" fillId="9" borderId="11" applyNumberFormat="0" applyAlignment="0" applyProtection="0"/>
    <xf numFmtId="0" fontId="59" fillId="9" borderId="11" applyNumberFormat="0" applyAlignment="0" applyProtection="0"/>
    <xf numFmtId="0" fontId="12" fillId="0" borderId="0"/>
    <xf numFmtId="0" fontId="12" fillId="0" borderId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1" fillId="0" borderId="17" applyNumberFormat="0" applyFill="0" applyAlignment="0" applyProtection="0"/>
    <xf numFmtId="0" fontId="60" fillId="0" borderId="17" applyNumberFormat="0" applyFill="0" applyAlignment="0" applyProtection="0"/>
    <xf numFmtId="0" fontId="61" fillId="0" borderId="17" applyNumberFormat="0" applyFill="0" applyAlignment="0" applyProtection="0"/>
    <xf numFmtId="0" fontId="60" fillId="0" borderId="17" applyNumberFormat="0" applyFill="0" applyAlignment="0" applyProtection="0"/>
    <xf numFmtId="0" fontId="61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1" fillId="0" borderId="17" applyNumberFormat="0" applyFill="0" applyAlignment="0" applyProtection="0"/>
    <xf numFmtId="178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3" fillId="29" borderId="0" applyNumberFormat="0" applyBorder="0" applyAlignment="0" applyProtection="0"/>
    <xf numFmtId="0" fontId="62" fillId="29" borderId="0" applyNumberFormat="0" applyBorder="0" applyAlignment="0" applyProtection="0"/>
    <xf numFmtId="0" fontId="63" fillId="29" borderId="0" applyNumberFormat="0" applyBorder="0" applyAlignment="0" applyProtection="0"/>
    <xf numFmtId="0" fontId="62" fillId="29" borderId="0" applyNumberFormat="0" applyBorder="0" applyAlignment="0" applyProtection="0"/>
    <xf numFmtId="0" fontId="63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3" fillId="29" borderId="0" applyNumberFormat="0" applyBorder="0" applyAlignment="0" applyProtection="0"/>
    <xf numFmtId="0" fontId="64" fillId="0" borderId="0"/>
    <xf numFmtId="0" fontId="65" fillId="0" borderId="0"/>
    <xf numFmtId="0" fontId="12" fillId="0" borderId="0"/>
    <xf numFmtId="0" fontId="12" fillId="0" borderId="0"/>
    <xf numFmtId="182" fontId="4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4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7" fillId="0" borderId="0"/>
    <xf numFmtId="0" fontId="12" fillId="0" borderId="0"/>
    <xf numFmtId="0" fontId="67" fillId="0" borderId="0"/>
    <xf numFmtId="0" fontId="42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183" fontId="42" fillId="0" borderId="0" applyFill="0" applyBorder="0" applyAlignment="0" applyProtection="0">
      <alignment horizontal="right"/>
    </xf>
    <xf numFmtId="183" fontId="42" fillId="0" borderId="0" applyFill="0" applyBorder="0" applyAlignment="0" applyProtection="0">
      <alignment horizontal="right"/>
    </xf>
    <xf numFmtId="183" fontId="42" fillId="0" borderId="0" applyFill="0" applyBorder="0" applyAlignment="0" applyProtection="0">
      <alignment horizontal="right"/>
    </xf>
    <xf numFmtId="183" fontId="42" fillId="0" borderId="0" applyFill="0" applyBorder="0" applyAlignment="0" applyProtection="0">
      <alignment horizontal="right"/>
    </xf>
    <xf numFmtId="183" fontId="42" fillId="0" borderId="0" applyFill="0" applyBorder="0" applyAlignment="0" applyProtection="0">
      <alignment horizontal="right"/>
    </xf>
    <xf numFmtId="183" fontId="42" fillId="0" borderId="0" applyFill="0" applyBorder="0" applyAlignment="0" applyProtection="0">
      <alignment horizontal="right"/>
    </xf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20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20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20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20" fillId="30" borderId="18" applyNumberFormat="0" applyFont="0" applyAlignment="0" applyProtection="0"/>
    <xf numFmtId="0" fontId="68" fillId="22" borderId="19" applyNumberFormat="0" applyAlignment="0" applyProtection="0"/>
    <xf numFmtId="0" fontId="68" fillId="22" borderId="19" applyNumberFormat="0" applyAlignment="0" applyProtection="0"/>
    <xf numFmtId="0" fontId="69" fillId="22" borderId="19" applyNumberFormat="0" applyAlignment="0" applyProtection="0"/>
    <xf numFmtId="0" fontId="68" fillId="22" borderId="19" applyNumberFormat="0" applyAlignment="0" applyProtection="0"/>
    <xf numFmtId="0" fontId="69" fillId="22" borderId="19" applyNumberFormat="0" applyAlignment="0" applyProtection="0"/>
    <xf numFmtId="0" fontId="68" fillId="22" borderId="19" applyNumberFormat="0" applyAlignment="0" applyProtection="0"/>
    <xf numFmtId="0" fontId="69" fillId="22" borderId="19" applyNumberFormat="0" applyAlignment="0" applyProtection="0"/>
    <xf numFmtId="0" fontId="68" fillId="22" borderId="19" applyNumberFormat="0" applyAlignment="0" applyProtection="0"/>
    <xf numFmtId="0" fontId="68" fillId="22" borderId="19" applyNumberFormat="0" applyAlignment="0" applyProtection="0"/>
    <xf numFmtId="0" fontId="69" fillId="22" borderId="19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8" fillId="0" borderId="0"/>
    <xf numFmtId="177" fontId="10" fillId="0" borderId="0" applyFill="0" applyBorder="0" applyProtection="0"/>
    <xf numFmtId="176" fontId="70" fillId="0" borderId="0"/>
    <xf numFmtId="0" fontId="12" fillId="0" borderId="0" applyNumberFormat="0"/>
    <xf numFmtId="0" fontId="12" fillId="0" borderId="0" applyNumberFormat="0"/>
    <xf numFmtId="0" fontId="12" fillId="0" borderId="0" applyNumberFormat="0"/>
    <xf numFmtId="0" fontId="12" fillId="0" borderId="0" applyNumberFormat="0"/>
    <xf numFmtId="0" fontId="12" fillId="0" borderId="0" applyNumberFormat="0"/>
    <xf numFmtId="0" fontId="12" fillId="0" borderId="0" applyNumberFormat="0"/>
    <xf numFmtId="0" fontId="12" fillId="0" borderId="0" applyNumberFormat="0"/>
    <xf numFmtId="0" fontId="12" fillId="0" borderId="0" applyNumberFormat="0"/>
    <xf numFmtId="0" fontId="12" fillId="0" borderId="0" applyNumberFormat="0"/>
    <xf numFmtId="0" fontId="12" fillId="0" borderId="0" applyNumberFormat="0"/>
    <xf numFmtId="0" fontId="12" fillId="0" borderId="0" applyNumberFormat="0"/>
    <xf numFmtId="0" fontId="12" fillId="0" borderId="0" applyNumberFormat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12" fillId="0" borderId="21" applyNumberFormat="0" applyFont="0" applyBorder="0" applyAlignment="0" applyProtection="0"/>
    <xf numFmtId="0" fontId="12" fillId="0" borderId="21" applyNumberFormat="0" applyFont="0" applyBorder="0" applyAlignment="0" applyProtection="0"/>
    <xf numFmtId="0" fontId="12" fillId="0" borderId="21" applyNumberFormat="0" applyFont="0" applyBorder="0" applyAlignment="0" applyProtection="0"/>
    <xf numFmtId="0" fontId="12" fillId="0" borderId="21" applyNumberFormat="0" applyFont="0" applyBorder="0" applyAlignment="0" applyProtection="0"/>
    <xf numFmtId="0" fontId="74" fillId="0" borderId="20" applyNumberFormat="0" applyFill="0" applyAlignment="0" applyProtection="0"/>
    <xf numFmtId="0" fontId="12" fillId="0" borderId="21" applyNumberFormat="0" applyFont="0" applyBorder="0" applyAlignment="0" applyProtection="0"/>
    <xf numFmtId="0" fontId="12" fillId="0" borderId="21" applyNumberFormat="0" applyFont="0" applyBorder="0" applyAlignment="0" applyProtection="0"/>
    <xf numFmtId="0" fontId="73" fillId="0" borderId="20" applyNumberFormat="0" applyFill="0" applyAlignment="0" applyProtection="0"/>
    <xf numFmtId="0" fontId="74" fillId="0" borderId="20" applyNumberFormat="0" applyFill="0" applyAlignment="0" applyProtection="0"/>
    <xf numFmtId="0" fontId="73" fillId="0" borderId="20" applyNumberFormat="0" applyFill="0" applyAlignment="0" applyProtection="0"/>
    <xf numFmtId="0" fontId="74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4" fillId="0" borderId="2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Protection="0"/>
    <xf numFmtId="186" fontId="77" fillId="0" borderId="0" applyProtection="0"/>
    <xf numFmtId="0" fontId="78" fillId="0" borderId="0" applyProtection="0"/>
    <xf numFmtId="0" fontId="79" fillId="0" borderId="0" applyProtection="0"/>
    <xf numFmtId="0" fontId="77" fillId="0" borderId="22" applyProtection="0"/>
    <xf numFmtId="0" fontId="77" fillId="0" borderId="0"/>
    <xf numFmtId="10" fontId="77" fillId="0" borderId="0" applyProtection="0"/>
    <xf numFmtId="0" fontId="77" fillId="0" borderId="0"/>
    <xf numFmtId="2" fontId="77" fillId="0" borderId="0" applyProtection="0"/>
    <xf numFmtId="4" fontId="77" fillId="0" borderId="0" applyProtection="0"/>
  </cellStyleXfs>
  <cellXfs count="55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/>
    </xf>
    <xf numFmtId="10" fontId="0" fillId="2" borderId="1" xfId="2" applyNumberFormat="1" applyFont="1" applyFill="1" applyBorder="1" applyAlignment="1">
      <alignment horizontal="center"/>
    </xf>
    <xf numFmtId="43" fontId="1" fillId="2" borderId="1" xfId="1" applyNumberFormat="1" applyFont="1" applyFill="1" applyBorder="1"/>
    <xf numFmtId="165" fontId="8" fillId="3" borderId="6" xfId="0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/>
    <xf numFmtId="164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/>
    <xf numFmtId="43" fontId="0" fillId="0" borderId="0" xfId="0" applyNumberFormat="1"/>
    <xf numFmtId="0" fontId="0" fillId="0" borderId="1" xfId="0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43" fontId="14" fillId="2" borderId="1" xfId="1" applyNumberFormat="1" applyFont="1" applyFill="1" applyBorder="1"/>
    <xf numFmtId="164" fontId="0" fillId="2" borderId="1" xfId="0" applyNumberFormat="1" applyFont="1" applyFill="1" applyBorder="1" applyAlignment="1">
      <alignment horizontal="center"/>
    </xf>
    <xf numFmtId="15" fontId="15" fillId="0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0" fillId="2" borderId="1" xfId="0" applyNumberFormat="1" applyFill="1" applyBorder="1"/>
    <xf numFmtId="0" fontId="16" fillId="0" borderId="0" xfId="0" applyFont="1"/>
    <xf numFmtId="0" fontId="17" fillId="0" borderId="0" xfId="0" applyFont="1" applyBorder="1" applyAlignment="1">
      <alignment horizontal="center"/>
    </xf>
    <xf numFmtId="165" fontId="16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8" fillId="3" borderId="5" xfId="0" applyNumberFormat="1" applyFont="1" applyFill="1" applyBorder="1" applyAlignment="1">
      <alignment horizontal="center" vertical="center"/>
    </xf>
    <xf numFmtId="165" fontId="8" fillId="3" borderId="10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955">
    <cellStyle name="1 indent" xfId="4"/>
    <cellStyle name="2 indents" xfId="5"/>
    <cellStyle name="20% - Accent1 2" xfId="6"/>
    <cellStyle name="20% - Accent1 2 2" xfId="7"/>
    <cellStyle name="20% - Accent1 2 2 2" xfId="8"/>
    <cellStyle name="20% - Accent1 2 3" xfId="9"/>
    <cellStyle name="20% - Accent1 2 4" xfId="10"/>
    <cellStyle name="20% - Accent1 3" xfId="11"/>
    <cellStyle name="20% - Accent1 3 2" xfId="12"/>
    <cellStyle name="20% - Accent1 3 3" xfId="13"/>
    <cellStyle name="20% - Accent1 4" xfId="14"/>
    <cellStyle name="20% - Accent1 4 2" xfId="15"/>
    <cellStyle name="20% - Accent1 4 3" xfId="16"/>
    <cellStyle name="20% - Accent1 5" xfId="17"/>
    <cellStyle name="20% - Accent1 5 2" xfId="18"/>
    <cellStyle name="20% - Accent1 6" xfId="19"/>
    <cellStyle name="20% - Accent1 6 2" xfId="20"/>
    <cellStyle name="20% - Accent1 7 2" xfId="21"/>
    <cellStyle name="20% - Accent2 2" xfId="22"/>
    <cellStyle name="20% - Accent2 2 2" xfId="23"/>
    <cellStyle name="20% - Accent2 2 2 2" xfId="24"/>
    <cellStyle name="20% - Accent2 2 3" xfId="25"/>
    <cellStyle name="20% - Accent2 2 4" xfId="26"/>
    <cellStyle name="20% - Accent2 3" xfId="27"/>
    <cellStyle name="20% - Accent2 3 2" xfId="28"/>
    <cellStyle name="20% - Accent2 3 3" xfId="29"/>
    <cellStyle name="20% - Accent2 4" xfId="30"/>
    <cellStyle name="20% - Accent2 4 2" xfId="31"/>
    <cellStyle name="20% - Accent2 4 3" xfId="32"/>
    <cellStyle name="20% - Accent2 5" xfId="33"/>
    <cellStyle name="20% - Accent2 5 2" xfId="34"/>
    <cellStyle name="20% - Accent2 6" xfId="35"/>
    <cellStyle name="20% - Accent2 6 2" xfId="36"/>
    <cellStyle name="20% - Accent2 7 2" xfId="37"/>
    <cellStyle name="20% - Accent3 2" xfId="38"/>
    <cellStyle name="20% - Accent3 2 2" xfId="39"/>
    <cellStyle name="20% - Accent3 2 2 2" xfId="40"/>
    <cellStyle name="20% - Accent3 2 3" xfId="41"/>
    <cellStyle name="20% - Accent3 2 4" xfId="42"/>
    <cellStyle name="20% - Accent3 3" xfId="43"/>
    <cellStyle name="20% - Accent3 3 2" xfId="44"/>
    <cellStyle name="20% - Accent3 3 3" xfId="45"/>
    <cellStyle name="20% - Accent3 4" xfId="46"/>
    <cellStyle name="20% - Accent3 4 2" xfId="47"/>
    <cellStyle name="20% - Accent3 4 3" xfId="48"/>
    <cellStyle name="20% - Accent3 5" xfId="49"/>
    <cellStyle name="20% - Accent3 5 2" xfId="50"/>
    <cellStyle name="20% - Accent3 6" xfId="51"/>
    <cellStyle name="20% - Accent3 6 2" xfId="52"/>
    <cellStyle name="20% - Accent3 7 2" xfId="53"/>
    <cellStyle name="20% - Accent4 2" xfId="54"/>
    <cellStyle name="20% - Accent4 2 2" xfId="55"/>
    <cellStyle name="20% - Accent4 2 2 2" xfId="56"/>
    <cellStyle name="20% - Accent4 2 3" xfId="57"/>
    <cellStyle name="20% - Accent4 2 4" xfId="58"/>
    <cellStyle name="20% - Accent4 3" xfId="59"/>
    <cellStyle name="20% - Accent4 3 2" xfId="60"/>
    <cellStyle name="20% - Accent4 3 3" xfId="61"/>
    <cellStyle name="20% - Accent4 4" xfId="62"/>
    <cellStyle name="20% - Accent4 4 2" xfId="63"/>
    <cellStyle name="20% - Accent4 4 3" xfId="64"/>
    <cellStyle name="20% - Accent4 5" xfId="65"/>
    <cellStyle name="20% - Accent4 5 2" xfId="66"/>
    <cellStyle name="20% - Accent4 6" xfId="67"/>
    <cellStyle name="20% - Accent4 6 2" xfId="68"/>
    <cellStyle name="20% - Accent4 7 2" xfId="69"/>
    <cellStyle name="20% - Accent5 2" xfId="70"/>
    <cellStyle name="20% - Accent5 2 2" xfId="71"/>
    <cellStyle name="20% - Accent5 2 2 2" xfId="72"/>
    <cellStyle name="20% - Accent5 2 3" xfId="73"/>
    <cellStyle name="20% - Accent5 2 4" xfId="74"/>
    <cellStyle name="20% - Accent5 3" xfId="75"/>
    <cellStyle name="20% - Accent5 3 2" xfId="76"/>
    <cellStyle name="20% - Accent5 3 3" xfId="77"/>
    <cellStyle name="20% - Accent5 4" xfId="78"/>
    <cellStyle name="20% - Accent5 4 2" xfId="79"/>
    <cellStyle name="20% - Accent5 4 3" xfId="80"/>
    <cellStyle name="20% - Accent5 5" xfId="81"/>
    <cellStyle name="20% - Accent5 5 2" xfId="82"/>
    <cellStyle name="20% - Accent5 6" xfId="83"/>
    <cellStyle name="20% - Accent5 6 2" xfId="84"/>
    <cellStyle name="20% - Accent5 7 2" xfId="85"/>
    <cellStyle name="20% - Accent6 2" xfId="86"/>
    <cellStyle name="20% - Accent6 2 2" xfId="87"/>
    <cellStyle name="20% - Accent6 2 2 2" xfId="88"/>
    <cellStyle name="20% - Accent6 2 3" xfId="89"/>
    <cellStyle name="20% - Accent6 2 4" xfId="90"/>
    <cellStyle name="20% - Accent6 3" xfId="91"/>
    <cellStyle name="20% - Accent6 3 2" xfId="92"/>
    <cellStyle name="20% - Accent6 3 3" xfId="93"/>
    <cellStyle name="20% - Accent6 4" xfId="94"/>
    <cellStyle name="20% - Accent6 4 2" xfId="95"/>
    <cellStyle name="20% - Accent6 4 3" xfId="96"/>
    <cellStyle name="20% - Accent6 5" xfId="97"/>
    <cellStyle name="20% - Accent6 5 2" xfId="98"/>
    <cellStyle name="20% - Accent6 6" xfId="99"/>
    <cellStyle name="20% - Accent6 6 2" xfId="100"/>
    <cellStyle name="20% - Accent6 7 2" xfId="101"/>
    <cellStyle name="3 indents" xfId="102"/>
    <cellStyle name="4 indents" xfId="103"/>
    <cellStyle name="40% - Accent1 2" xfId="104"/>
    <cellStyle name="40% - Accent1 2 2" xfId="105"/>
    <cellStyle name="40% - Accent1 2 2 2" xfId="106"/>
    <cellStyle name="40% - Accent1 2 3" xfId="107"/>
    <cellStyle name="40% - Accent1 2 4" xfId="108"/>
    <cellStyle name="40% - Accent1 3" xfId="109"/>
    <cellStyle name="40% - Accent1 3 2" xfId="110"/>
    <cellStyle name="40% - Accent1 3 3" xfId="111"/>
    <cellStyle name="40% - Accent1 4" xfId="112"/>
    <cellStyle name="40% - Accent1 4 2" xfId="113"/>
    <cellStyle name="40% - Accent1 4 3" xfId="114"/>
    <cellStyle name="40% - Accent1 5" xfId="115"/>
    <cellStyle name="40% - Accent1 5 2" xfId="116"/>
    <cellStyle name="40% - Accent1 6" xfId="117"/>
    <cellStyle name="40% - Accent1 6 2" xfId="118"/>
    <cellStyle name="40% - Accent1 7 2" xfId="119"/>
    <cellStyle name="40% - Accent2 2" xfId="120"/>
    <cellStyle name="40% - Accent2 2 2" xfId="121"/>
    <cellStyle name="40% - Accent2 2 2 2" xfId="122"/>
    <cellStyle name="40% - Accent2 2 3" xfId="123"/>
    <cellStyle name="40% - Accent2 2 4" xfId="124"/>
    <cellStyle name="40% - Accent2 3" xfId="125"/>
    <cellStyle name="40% - Accent2 3 2" xfId="126"/>
    <cellStyle name="40% - Accent2 3 3" xfId="127"/>
    <cellStyle name="40% - Accent2 4" xfId="128"/>
    <cellStyle name="40% - Accent2 4 2" xfId="129"/>
    <cellStyle name="40% - Accent2 4 3" xfId="130"/>
    <cellStyle name="40% - Accent2 5" xfId="131"/>
    <cellStyle name="40% - Accent2 5 2" xfId="132"/>
    <cellStyle name="40% - Accent2 6" xfId="133"/>
    <cellStyle name="40% - Accent2 6 2" xfId="134"/>
    <cellStyle name="40% - Accent2 7 2" xfId="135"/>
    <cellStyle name="40% - Accent3 2" xfId="136"/>
    <cellStyle name="40% - Accent3 2 2" xfId="137"/>
    <cellStyle name="40% - Accent3 2 2 2" xfId="138"/>
    <cellStyle name="40% - Accent3 2 3" xfId="139"/>
    <cellStyle name="40% - Accent3 2 4" xfId="140"/>
    <cellStyle name="40% - Accent3 3" xfId="141"/>
    <cellStyle name="40% - Accent3 3 2" xfId="142"/>
    <cellStyle name="40% - Accent3 3 3" xfId="143"/>
    <cellStyle name="40% - Accent3 4" xfId="144"/>
    <cellStyle name="40% - Accent3 4 2" xfId="145"/>
    <cellStyle name="40% - Accent3 4 3" xfId="146"/>
    <cellStyle name="40% - Accent3 5" xfId="147"/>
    <cellStyle name="40% - Accent3 5 2" xfId="148"/>
    <cellStyle name="40% - Accent3 6" xfId="149"/>
    <cellStyle name="40% - Accent3 6 2" xfId="150"/>
    <cellStyle name="40% - Accent3 7 2" xfId="151"/>
    <cellStyle name="40% - Accent4 2" xfId="152"/>
    <cellStyle name="40% - Accent4 2 2" xfId="153"/>
    <cellStyle name="40% - Accent4 2 2 2" xfId="154"/>
    <cellStyle name="40% - Accent4 2 3" xfId="155"/>
    <cellStyle name="40% - Accent4 2 4" xfId="156"/>
    <cellStyle name="40% - Accent4 3" xfId="157"/>
    <cellStyle name="40% - Accent4 3 2" xfId="158"/>
    <cellStyle name="40% - Accent4 3 3" xfId="159"/>
    <cellStyle name="40% - Accent4 4" xfId="160"/>
    <cellStyle name="40% - Accent4 4 2" xfId="161"/>
    <cellStyle name="40% - Accent4 4 3" xfId="162"/>
    <cellStyle name="40% - Accent4 5" xfId="163"/>
    <cellStyle name="40% - Accent4 5 2" xfId="164"/>
    <cellStyle name="40% - Accent4 6" xfId="165"/>
    <cellStyle name="40% - Accent4 6 2" xfId="166"/>
    <cellStyle name="40% - Accent4 7 2" xfId="167"/>
    <cellStyle name="40% - Accent5 2" xfId="168"/>
    <cellStyle name="40% - Accent5 2 2" xfId="169"/>
    <cellStyle name="40% - Accent5 2 2 2" xfId="170"/>
    <cellStyle name="40% - Accent5 2 3" xfId="171"/>
    <cellStyle name="40% - Accent5 2 4" xfId="172"/>
    <cellStyle name="40% - Accent5 3" xfId="173"/>
    <cellStyle name="40% - Accent5 3 2" xfId="174"/>
    <cellStyle name="40% - Accent5 3 3" xfId="175"/>
    <cellStyle name="40% - Accent5 4" xfId="176"/>
    <cellStyle name="40% - Accent5 4 2" xfId="177"/>
    <cellStyle name="40% - Accent5 4 3" xfId="178"/>
    <cellStyle name="40% - Accent5 5" xfId="179"/>
    <cellStyle name="40% - Accent5 5 2" xfId="180"/>
    <cellStyle name="40% - Accent5 6" xfId="181"/>
    <cellStyle name="40% - Accent5 6 2" xfId="182"/>
    <cellStyle name="40% - Accent5 7 2" xfId="183"/>
    <cellStyle name="40% - Accent6 2" xfId="184"/>
    <cellStyle name="40% - Accent6 2 2" xfId="185"/>
    <cellStyle name="40% - Accent6 2 2 2" xfId="186"/>
    <cellStyle name="40% - Accent6 2 3" xfId="187"/>
    <cellStyle name="40% - Accent6 2 4" xfId="188"/>
    <cellStyle name="40% - Accent6 3" xfId="189"/>
    <cellStyle name="40% - Accent6 3 2" xfId="190"/>
    <cellStyle name="40% - Accent6 3 3" xfId="191"/>
    <cellStyle name="40% - Accent6 4" xfId="192"/>
    <cellStyle name="40% - Accent6 4 2" xfId="193"/>
    <cellStyle name="40% - Accent6 4 3" xfId="194"/>
    <cellStyle name="40% - Accent6 5" xfId="195"/>
    <cellStyle name="40% - Accent6 5 2" xfId="196"/>
    <cellStyle name="40% - Accent6 6" xfId="197"/>
    <cellStyle name="40% - Accent6 6 2" xfId="198"/>
    <cellStyle name="40% - Accent6 7 2" xfId="199"/>
    <cellStyle name="5 indents" xfId="200"/>
    <cellStyle name="60% - Accent1 2" xfId="201"/>
    <cellStyle name="60% - Accent1 2 2" xfId="202"/>
    <cellStyle name="60% - Accent1 2 3" xfId="203"/>
    <cellStyle name="60% - Accent1 3" xfId="204"/>
    <cellStyle name="60% - Accent1 3 2" xfId="205"/>
    <cellStyle name="60% - Accent1 4" xfId="206"/>
    <cellStyle name="60% - Accent1 4 2" xfId="207"/>
    <cellStyle name="60% - Accent1 5" xfId="208"/>
    <cellStyle name="60% - Accent1 6" xfId="209"/>
    <cellStyle name="60% - Accent1 7 2" xfId="210"/>
    <cellStyle name="60% - Accent2 2" xfId="211"/>
    <cellStyle name="60% - Accent2 2 2" xfId="212"/>
    <cellStyle name="60% - Accent2 2 3" xfId="213"/>
    <cellStyle name="60% - Accent2 3" xfId="214"/>
    <cellStyle name="60% - Accent2 3 2" xfId="215"/>
    <cellStyle name="60% - Accent2 4" xfId="216"/>
    <cellStyle name="60% - Accent2 4 2" xfId="217"/>
    <cellStyle name="60% - Accent2 5" xfId="218"/>
    <cellStyle name="60% - Accent2 6" xfId="219"/>
    <cellStyle name="60% - Accent2 7 2" xfId="220"/>
    <cellStyle name="60% - Accent3 2" xfId="221"/>
    <cellStyle name="60% - Accent3 2 2" xfId="222"/>
    <cellStyle name="60% - Accent3 2 3" xfId="223"/>
    <cellStyle name="60% - Accent3 3" xfId="224"/>
    <cellStyle name="60% - Accent3 3 2" xfId="225"/>
    <cellStyle name="60% - Accent3 4" xfId="226"/>
    <cellStyle name="60% - Accent3 4 2" xfId="227"/>
    <cellStyle name="60% - Accent3 5" xfId="228"/>
    <cellStyle name="60% - Accent3 6" xfId="229"/>
    <cellStyle name="60% - Accent3 7 2" xfId="230"/>
    <cellStyle name="60% - Accent4 2" xfId="231"/>
    <cellStyle name="60% - Accent4 2 2" xfId="232"/>
    <cellStyle name="60% - Accent4 2 3" xfId="233"/>
    <cellStyle name="60% - Accent4 3" xfId="234"/>
    <cellStyle name="60% - Accent4 3 2" xfId="235"/>
    <cellStyle name="60% - Accent4 4" xfId="236"/>
    <cellStyle name="60% - Accent4 4 2" xfId="237"/>
    <cellStyle name="60% - Accent4 5" xfId="238"/>
    <cellStyle name="60% - Accent4 6" xfId="239"/>
    <cellStyle name="60% - Accent4 7 2" xfId="240"/>
    <cellStyle name="60% - Accent5 2" xfId="241"/>
    <cellStyle name="60% - Accent5 2 2" xfId="242"/>
    <cellStyle name="60% - Accent5 2 3" xfId="243"/>
    <cellStyle name="60% - Accent5 3" xfId="244"/>
    <cellStyle name="60% - Accent5 3 2" xfId="245"/>
    <cellStyle name="60% - Accent5 4" xfId="246"/>
    <cellStyle name="60% - Accent5 4 2" xfId="247"/>
    <cellStyle name="60% - Accent5 5" xfId="248"/>
    <cellStyle name="60% - Accent5 6" xfId="249"/>
    <cellStyle name="60% - Accent5 7 2" xfId="250"/>
    <cellStyle name="60% - Accent6 2" xfId="251"/>
    <cellStyle name="60% - Accent6 2 2" xfId="252"/>
    <cellStyle name="60% - Accent6 2 3" xfId="253"/>
    <cellStyle name="60% - Accent6 3" xfId="254"/>
    <cellStyle name="60% - Accent6 3 2" xfId="255"/>
    <cellStyle name="60% - Accent6 4" xfId="256"/>
    <cellStyle name="60% - Accent6 4 2" xfId="257"/>
    <cellStyle name="60% - Accent6 5" xfId="258"/>
    <cellStyle name="60% - Accent6 6" xfId="259"/>
    <cellStyle name="60% - Accent6 7 2" xfId="260"/>
    <cellStyle name="Accent1 2" xfId="261"/>
    <cellStyle name="Accent1 2 2" xfId="262"/>
    <cellStyle name="Accent1 2 3" xfId="263"/>
    <cellStyle name="Accent1 3" xfId="264"/>
    <cellStyle name="Accent1 3 2" xfId="265"/>
    <cellStyle name="Accent1 4" xfId="266"/>
    <cellStyle name="Accent1 4 2" xfId="267"/>
    <cellStyle name="Accent1 5" xfId="268"/>
    <cellStyle name="Accent1 6" xfId="269"/>
    <cellStyle name="Accent1 7 2" xfId="270"/>
    <cellStyle name="Accent2 2" xfId="271"/>
    <cellStyle name="Accent2 2 2" xfId="272"/>
    <cellStyle name="Accent2 2 3" xfId="273"/>
    <cellStyle name="Accent2 3" xfId="274"/>
    <cellStyle name="Accent2 3 2" xfId="275"/>
    <cellStyle name="Accent2 4" xfId="276"/>
    <cellStyle name="Accent2 4 2" xfId="277"/>
    <cellStyle name="Accent2 5" xfId="278"/>
    <cellStyle name="Accent2 6" xfId="279"/>
    <cellStyle name="Accent2 7 2" xfId="280"/>
    <cellStyle name="Accent3 2" xfId="281"/>
    <cellStyle name="Accent3 2 2" xfId="282"/>
    <cellStyle name="Accent3 2 3" xfId="283"/>
    <cellStyle name="Accent3 3" xfId="284"/>
    <cellStyle name="Accent3 3 2" xfId="285"/>
    <cellStyle name="Accent3 4" xfId="286"/>
    <cellStyle name="Accent3 4 2" xfId="287"/>
    <cellStyle name="Accent3 5" xfId="288"/>
    <cellStyle name="Accent3 6" xfId="289"/>
    <cellStyle name="Accent3 7 2" xfId="290"/>
    <cellStyle name="Accent4 2" xfId="291"/>
    <cellStyle name="Accent4 2 2" xfId="292"/>
    <cellStyle name="Accent4 2 3" xfId="293"/>
    <cellStyle name="Accent4 3" xfId="294"/>
    <cellStyle name="Accent4 3 2" xfId="295"/>
    <cellStyle name="Accent4 4" xfId="296"/>
    <cellStyle name="Accent4 4 2" xfId="297"/>
    <cellStyle name="Accent4 5" xfId="298"/>
    <cellStyle name="Accent4 6" xfId="299"/>
    <cellStyle name="Accent4 7 2" xfId="300"/>
    <cellStyle name="Accent5 2" xfId="301"/>
    <cellStyle name="Accent5 2 2" xfId="302"/>
    <cellStyle name="Accent5 2 3" xfId="303"/>
    <cellStyle name="Accent5 3" xfId="304"/>
    <cellStyle name="Accent5 3 2" xfId="305"/>
    <cellStyle name="Accent5 4" xfId="306"/>
    <cellStyle name="Accent5 4 2" xfId="307"/>
    <cellStyle name="Accent5 5" xfId="308"/>
    <cellStyle name="Accent5 6" xfId="309"/>
    <cellStyle name="Accent5 7 2" xfId="310"/>
    <cellStyle name="Accent6 2" xfId="311"/>
    <cellStyle name="Accent6 2 2" xfId="312"/>
    <cellStyle name="Accent6 2 3" xfId="313"/>
    <cellStyle name="Accent6 3" xfId="314"/>
    <cellStyle name="Accent6 3 2" xfId="315"/>
    <cellStyle name="Accent6 4" xfId="316"/>
    <cellStyle name="Accent6 4 2" xfId="317"/>
    <cellStyle name="Accent6 5" xfId="318"/>
    <cellStyle name="Accent6 6" xfId="319"/>
    <cellStyle name="Accent6 7 2" xfId="320"/>
    <cellStyle name="arial" xfId="321"/>
    <cellStyle name="Bad 2" xfId="322"/>
    <cellStyle name="Bad 2 2" xfId="323"/>
    <cellStyle name="Bad 2 3" xfId="324"/>
    <cellStyle name="Bad 3" xfId="325"/>
    <cellStyle name="Bad 3 2" xfId="326"/>
    <cellStyle name="Bad 4" xfId="327"/>
    <cellStyle name="Bad 4 2" xfId="328"/>
    <cellStyle name="Bad 5" xfId="329"/>
    <cellStyle name="Bad 6" xfId="330"/>
    <cellStyle name="Bad 7 2" xfId="331"/>
    <cellStyle name="Calculation 2" xfId="332"/>
    <cellStyle name="Calculation 2 2" xfId="333"/>
    <cellStyle name="Calculation 2 3" xfId="334"/>
    <cellStyle name="Calculation 3" xfId="335"/>
    <cellStyle name="Calculation 3 2" xfId="336"/>
    <cellStyle name="Calculation 4" xfId="337"/>
    <cellStyle name="Calculation 4 2" xfId="338"/>
    <cellStyle name="Calculation 5" xfId="339"/>
    <cellStyle name="Calculation 6" xfId="340"/>
    <cellStyle name="Calculation 7 2" xfId="341"/>
    <cellStyle name="Check Cell 2" xfId="342"/>
    <cellStyle name="Check Cell 2 2" xfId="343"/>
    <cellStyle name="Check Cell 2 3" xfId="344"/>
    <cellStyle name="Check Cell 3" xfId="345"/>
    <cellStyle name="Check Cell 3 2" xfId="346"/>
    <cellStyle name="Check Cell 4" xfId="347"/>
    <cellStyle name="Check Cell 4 2" xfId="348"/>
    <cellStyle name="Check Cell 5" xfId="349"/>
    <cellStyle name="Check Cell 6" xfId="350"/>
    <cellStyle name="Check Cell 7 2" xfId="351"/>
    <cellStyle name="clsAltData" xfId="352"/>
    <cellStyle name="clsAltData 2" xfId="353"/>
    <cellStyle name="clsAltData 3" xfId="354"/>
    <cellStyle name="clsAltMRVData" xfId="355"/>
    <cellStyle name="clsAltMRVData 2" xfId="356"/>
    <cellStyle name="clsAltMRVData 3" xfId="357"/>
    <cellStyle name="clsBlank" xfId="358"/>
    <cellStyle name="clsBlank 2" xfId="359"/>
    <cellStyle name="clsBlank 2 2" xfId="360"/>
    <cellStyle name="clsBlank 3" xfId="361"/>
    <cellStyle name="clsBlank 3 2" xfId="362"/>
    <cellStyle name="clsBlank 4" xfId="363"/>
    <cellStyle name="clsBlank 4 2" xfId="364"/>
    <cellStyle name="clsBlank 5" xfId="365"/>
    <cellStyle name="clsColumnHeader" xfId="366"/>
    <cellStyle name="clsColumnHeader 2" xfId="367"/>
    <cellStyle name="clsColumnHeader 3" xfId="368"/>
    <cellStyle name="clsData" xfId="369"/>
    <cellStyle name="clsData 2" xfId="370"/>
    <cellStyle name="clsData 3" xfId="371"/>
    <cellStyle name="clsDefault" xfId="372"/>
    <cellStyle name="clsDefault 2" xfId="373"/>
    <cellStyle name="clsDefault 2 2" xfId="374"/>
    <cellStyle name="clsDefault 3" xfId="375"/>
    <cellStyle name="clsDefault 3 2" xfId="376"/>
    <cellStyle name="clsDefault 4" xfId="377"/>
    <cellStyle name="clsDefault 4 2" xfId="378"/>
    <cellStyle name="clsDefault 5" xfId="379"/>
    <cellStyle name="clsFooter" xfId="380"/>
    <cellStyle name="clsIndexTableTitle" xfId="381"/>
    <cellStyle name="clsMRVData" xfId="382"/>
    <cellStyle name="clsMRVData 2" xfId="383"/>
    <cellStyle name="clsMRVData 3" xfId="384"/>
    <cellStyle name="clsReportFooter" xfId="385"/>
    <cellStyle name="clsReportHeader" xfId="386"/>
    <cellStyle name="clsRowHeader" xfId="387"/>
    <cellStyle name="clsRowHeader 2" xfId="388"/>
    <cellStyle name="clsRowHeader 3" xfId="389"/>
    <cellStyle name="clsScale" xfId="390"/>
    <cellStyle name="clsSection" xfId="391"/>
    <cellStyle name="clsSection 2" xfId="392"/>
    <cellStyle name="clsSection 3" xfId="393"/>
    <cellStyle name="Comma" xfId="1" builtinId="3"/>
    <cellStyle name="Comma  - Style1" xfId="394"/>
    <cellStyle name="Comma  - Style2" xfId="395"/>
    <cellStyle name="Comma  - Style3" xfId="396"/>
    <cellStyle name="Comma  - Style4" xfId="397"/>
    <cellStyle name="Comma  - Style5" xfId="398"/>
    <cellStyle name="Comma  - Style6" xfId="399"/>
    <cellStyle name="Comma  - Style7" xfId="400"/>
    <cellStyle name="Comma 10" xfId="401"/>
    <cellStyle name="Comma 10 5" xfId="402"/>
    <cellStyle name="Comma 154" xfId="403"/>
    <cellStyle name="Comma 2" xfId="404"/>
    <cellStyle name="Comma 2 10" xfId="405"/>
    <cellStyle name="Comma 2 14 3 10" xfId="406"/>
    <cellStyle name="Comma 2 14 3 10 2" xfId="407"/>
    <cellStyle name="Comma 2 2" xfId="408"/>
    <cellStyle name="Comma 2 2 2" xfId="409"/>
    <cellStyle name="Comma 2 2 2 2" xfId="410"/>
    <cellStyle name="Comma 2 2 2 2 2" xfId="411"/>
    <cellStyle name="Comma 2 2 2 2 2 2" xfId="412"/>
    <cellStyle name="Comma 2 2 2 2 2 2 2" xfId="413"/>
    <cellStyle name="Comma 2 2 2 2 2 2 3" xfId="414"/>
    <cellStyle name="Comma 2 2 2 2 2 3" xfId="415"/>
    <cellStyle name="Comma 2 2 2 2 2 3 2" xfId="416"/>
    <cellStyle name="Comma 2 2 2 2 2 4" xfId="417"/>
    <cellStyle name="Comma 2 2 2 2 3" xfId="418"/>
    <cellStyle name="Comma 2 2 2 2 3 2" xfId="419"/>
    <cellStyle name="Comma 2 2 2 2 4" xfId="420"/>
    <cellStyle name="Comma 2 2 2 3" xfId="421"/>
    <cellStyle name="Comma 2 2 2 3 2" xfId="422"/>
    <cellStyle name="Comma 2 2 2 4" xfId="423"/>
    <cellStyle name="Comma 2 2 2 5" xfId="424"/>
    <cellStyle name="Comma 2 2 2 6" xfId="425"/>
    <cellStyle name="Comma 2 2 2 7" xfId="426"/>
    <cellStyle name="Comma 2 2 3" xfId="427"/>
    <cellStyle name="Comma 2 2 3 2" xfId="428"/>
    <cellStyle name="Comma 2 2 3 2 2" xfId="429"/>
    <cellStyle name="Comma 2 2 3 3" xfId="430"/>
    <cellStyle name="Comma 2 2 3 4" xfId="431"/>
    <cellStyle name="Comma 2 2 3 5" xfId="432"/>
    <cellStyle name="Comma 2 2 4" xfId="433"/>
    <cellStyle name="Comma 2 2 4 2" xfId="434"/>
    <cellStyle name="Comma 2 2 5" xfId="435"/>
    <cellStyle name="Comma 2 2 5 2" xfId="436"/>
    <cellStyle name="Comma 2 3" xfId="437"/>
    <cellStyle name="Comma 2 3 2" xfId="438"/>
    <cellStyle name="Comma 2 3 2 2" xfId="439"/>
    <cellStyle name="Comma 2 4" xfId="440"/>
    <cellStyle name="Comma 2 5" xfId="441"/>
    <cellStyle name="Comma 2 6" xfId="442"/>
    <cellStyle name="Comma 2 7" xfId="443"/>
    <cellStyle name="Comma 2 7 2" xfId="444"/>
    <cellStyle name="Comma 2 8" xfId="445"/>
    <cellStyle name="Comma 2 8 2" xfId="446"/>
    <cellStyle name="Comma 2 9" xfId="447"/>
    <cellStyle name="Comma 2 9 2" xfId="448"/>
    <cellStyle name="Comma 21" xfId="449"/>
    <cellStyle name="Comma 21 2" xfId="450"/>
    <cellStyle name="Comma 3" xfId="451"/>
    <cellStyle name="Comma 3 2" xfId="452"/>
    <cellStyle name="Comma 3 2 2" xfId="453"/>
    <cellStyle name="Comma 3 2 2 2" xfId="454"/>
    <cellStyle name="Comma 3 3" xfId="455"/>
    <cellStyle name="Comma 3 3 2" xfId="456"/>
    <cellStyle name="Comma 3 3 2 2" xfId="457"/>
    <cellStyle name="Comma 3 3 2 2 2" xfId="458"/>
    <cellStyle name="Comma 3 3 2 3" xfId="459"/>
    <cellStyle name="Comma 3 3 3" xfId="460"/>
    <cellStyle name="Comma 3 3 3 2" xfId="461"/>
    <cellStyle name="Comma 3 4" xfId="462"/>
    <cellStyle name="Comma 3 4 2" xfId="463"/>
    <cellStyle name="Comma 3 4 2 2" xfId="464"/>
    <cellStyle name="Comma 3 4 3" xfId="465"/>
    <cellStyle name="Comma 3 5" xfId="466"/>
    <cellStyle name="Comma 3 5 2" xfId="467"/>
    <cellStyle name="Comma 3 5 2 2" xfId="468"/>
    <cellStyle name="Comma 3 5 3" xfId="469"/>
    <cellStyle name="Comma 3 6" xfId="470"/>
    <cellStyle name="Comma 3 6 2" xfId="471"/>
    <cellStyle name="Comma 3 7" xfId="472"/>
    <cellStyle name="Comma 3 7 2" xfId="473"/>
    <cellStyle name="Comma 4" xfId="474"/>
    <cellStyle name="Comma 4 2" xfId="475"/>
    <cellStyle name="Comma 4 2 2" xfId="476"/>
    <cellStyle name="Comma 4 3" xfId="477"/>
    <cellStyle name="Comma 4 3 2" xfId="478"/>
    <cellStyle name="Comma 4 4" xfId="479"/>
    <cellStyle name="Comma 5" xfId="480"/>
    <cellStyle name="Comma 5 2" xfId="481"/>
    <cellStyle name="Comma 6" xfId="482"/>
    <cellStyle name="Comma 6 2" xfId="483"/>
    <cellStyle name="Comma 7" xfId="484"/>
    <cellStyle name="Comma 7 2" xfId="485"/>
    <cellStyle name="Comma 7 2 2" xfId="486"/>
    <cellStyle name="Comma 7 3" xfId="487"/>
    <cellStyle name="Comma 7 3 2" xfId="488"/>
    <cellStyle name="Comma 7 4" xfId="489"/>
    <cellStyle name="Comma 7 4 2" xfId="490"/>
    <cellStyle name="Comma 7 5" xfId="491"/>
    <cellStyle name="Comma 8" xfId="492"/>
    <cellStyle name="Comma 8 2" xfId="493"/>
    <cellStyle name="Comma 9" xfId="494"/>
    <cellStyle name="Comma 9 5" xfId="495"/>
    <cellStyle name="Comma0" xfId="496"/>
    <cellStyle name="Comma0 2" xfId="497"/>
    <cellStyle name="Comma0 2 2" xfId="498"/>
    <cellStyle name="Comma0 3" xfId="499"/>
    <cellStyle name="Comma0 3 2" xfId="500"/>
    <cellStyle name="Comma0 4" xfId="501"/>
    <cellStyle name="Comma0 4 2" xfId="502"/>
    <cellStyle name="Comma0 5" xfId="503"/>
    <cellStyle name="Comma0 5 2" xfId="504"/>
    <cellStyle name="Comma0 6" xfId="505"/>
    <cellStyle name="Comma0 6 2" xfId="506"/>
    <cellStyle name="Comma0 7" xfId="507"/>
    <cellStyle name="Currency 2" xfId="508"/>
    <cellStyle name="Currency 2 2" xfId="509"/>
    <cellStyle name="Currency 2 2 2" xfId="510"/>
    <cellStyle name="Currency 2 3" xfId="511"/>
    <cellStyle name="Currency 2 3 2" xfId="512"/>
    <cellStyle name="Currency 2 4" xfId="513"/>
    <cellStyle name="Currency 4" xfId="514"/>
    <cellStyle name="Currency 4 2" xfId="515"/>
    <cellStyle name="Currency0" xfId="516"/>
    <cellStyle name="Currency0 2" xfId="517"/>
    <cellStyle name="Currency0 2 2" xfId="518"/>
    <cellStyle name="Currency0 3" xfId="519"/>
    <cellStyle name="Currency0 3 2" xfId="520"/>
    <cellStyle name="Currency0 4" xfId="521"/>
    <cellStyle name="Currency0 4 2" xfId="522"/>
    <cellStyle name="Currency0 5" xfId="523"/>
    <cellStyle name="Currency0 5 2" xfId="524"/>
    <cellStyle name="Currency0 6" xfId="525"/>
    <cellStyle name="Currency0 6 2" xfId="526"/>
    <cellStyle name="Currency0 7" xfId="527"/>
    <cellStyle name="Date" xfId="528"/>
    <cellStyle name="Date 2" xfId="529"/>
    <cellStyle name="Date 2 2" xfId="530"/>
    <cellStyle name="Date 3" xfId="531"/>
    <cellStyle name="Date 3 2" xfId="532"/>
    <cellStyle name="Date 4" xfId="533"/>
    <cellStyle name="Date 4 2" xfId="534"/>
    <cellStyle name="Date 5" xfId="535"/>
    <cellStyle name="Date 5 2" xfId="536"/>
    <cellStyle name="Date 6" xfId="537"/>
    <cellStyle name="Date 6 2" xfId="538"/>
    <cellStyle name="Date 7" xfId="539"/>
    <cellStyle name="Euro" xfId="540"/>
    <cellStyle name="Euro 2" xfId="541"/>
    <cellStyle name="Euro 2 2" xfId="542"/>
    <cellStyle name="Euro 3" xfId="543"/>
    <cellStyle name="Euro 3 2" xfId="544"/>
    <cellStyle name="Euro 4" xfId="545"/>
    <cellStyle name="Euro 4 2" xfId="546"/>
    <cellStyle name="Euro 5" xfId="547"/>
    <cellStyle name="Euro 5 2" xfId="548"/>
    <cellStyle name="Euro 6" xfId="549"/>
    <cellStyle name="Euro 6 2" xfId="550"/>
    <cellStyle name="Euro 7" xfId="551"/>
    <cellStyle name="Explanatory Text 2" xfId="552"/>
    <cellStyle name="Explanatory Text 2 2" xfId="553"/>
    <cellStyle name="Explanatory Text 2 3" xfId="554"/>
    <cellStyle name="Explanatory Text 3" xfId="555"/>
    <cellStyle name="Explanatory Text 3 2" xfId="556"/>
    <cellStyle name="Explanatory Text 4" xfId="557"/>
    <cellStyle name="Explanatory Text 4 2" xfId="558"/>
    <cellStyle name="Explanatory Text 5" xfId="559"/>
    <cellStyle name="Explanatory Text 6" xfId="560"/>
    <cellStyle name="Explanatory Text 7 2" xfId="561"/>
    <cellStyle name="Fixed" xfId="562"/>
    <cellStyle name="Fixed 2" xfId="563"/>
    <cellStyle name="Fixed 2 2" xfId="564"/>
    <cellStyle name="Fixed 3" xfId="565"/>
    <cellStyle name="Fixed 3 2" xfId="566"/>
    <cellStyle name="Fixed 4" xfId="567"/>
    <cellStyle name="Fixed 4 2" xfId="568"/>
    <cellStyle name="Fixed 5" xfId="569"/>
    <cellStyle name="Fixed 5 2" xfId="570"/>
    <cellStyle name="Fixed 6" xfId="571"/>
    <cellStyle name="Fixed 6 2" xfId="572"/>
    <cellStyle name="Fixed 7" xfId="573"/>
    <cellStyle name="Good 2" xfId="574"/>
    <cellStyle name="Good 2 2" xfId="575"/>
    <cellStyle name="Good 2 3" xfId="576"/>
    <cellStyle name="Good 3" xfId="577"/>
    <cellStyle name="Good 3 2" xfId="578"/>
    <cellStyle name="Good 4" xfId="579"/>
    <cellStyle name="Good 4 2" xfId="580"/>
    <cellStyle name="Good 5" xfId="581"/>
    <cellStyle name="Good 6" xfId="582"/>
    <cellStyle name="Good 7 2" xfId="583"/>
    <cellStyle name="Heading 1 2" xfId="584"/>
    <cellStyle name="Heading 1 2 2" xfId="585"/>
    <cellStyle name="Heading 1 2 3" xfId="586"/>
    <cellStyle name="Heading 1 2 4" xfId="587"/>
    <cellStyle name="Heading 1 2 5" xfId="588"/>
    <cellStyle name="Heading 1 2 6" xfId="589"/>
    <cellStyle name="Heading 1 3" xfId="590"/>
    <cellStyle name="Heading 1 3 2" xfId="591"/>
    <cellStyle name="Heading 1 4" xfId="592"/>
    <cellStyle name="Heading 1 4 2" xfId="593"/>
    <cellStyle name="Heading 1 5" xfId="594"/>
    <cellStyle name="Heading 1 6" xfId="595"/>
    <cellStyle name="Heading 1 7 2" xfId="596"/>
    <cellStyle name="Heading 2 2" xfId="597"/>
    <cellStyle name="Heading 2 2 2" xfId="598"/>
    <cellStyle name="Heading 2 2 3" xfId="599"/>
    <cellStyle name="Heading 2 2 4" xfId="600"/>
    <cellStyle name="Heading 2 2 5" xfId="601"/>
    <cellStyle name="Heading 2 2 6" xfId="602"/>
    <cellStyle name="Heading 2 3" xfId="603"/>
    <cellStyle name="Heading 2 3 2" xfId="604"/>
    <cellStyle name="Heading 2 4" xfId="605"/>
    <cellStyle name="Heading 2 4 2" xfId="606"/>
    <cellStyle name="Heading 2 5" xfId="607"/>
    <cellStyle name="Heading 2 6" xfId="608"/>
    <cellStyle name="Heading 2 7 2" xfId="609"/>
    <cellStyle name="Heading 3 2" xfId="610"/>
    <cellStyle name="Heading 3 2 2" xfId="611"/>
    <cellStyle name="Heading 3 2 3" xfId="612"/>
    <cellStyle name="Heading 3 3" xfId="613"/>
    <cellStyle name="Heading 3 3 2" xfId="614"/>
    <cellStyle name="Heading 3 4" xfId="615"/>
    <cellStyle name="Heading 3 4 2" xfId="616"/>
    <cellStyle name="Heading 3 5" xfId="617"/>
    <cellStyle name="Heading 3 6" xfId="618"/>
    <cellStyle name="Heading 3 7 2" xfId="619"/>
    <cellStyle name="Heading 4 2" xfId="620"/>
    <cellStyle name="Heading 4 2 2" xfId="621"/>
    <cellStyle name="Heading 4 2 3" xfId="622"/>
    <cellStyle name="Heading 4 3" xfId="623"/>
    <cellStyle name="Heading 4 3 2" xfId="624"/>
    <cellStyle name="Heading 4 4" xfId="625"/>
    <cellStyle name="Heading 4 4 2" xfId="626"/>
    <cellStyle name="Heading 4 5" xfId="627"/>
    <cellStyle name="Heading 4 6" xfId="628"/>
    <cellStyle name="Heading 4 7 2" xfId="629"/>
    <cellStyle name="HEADING1" xfId="630"/>
    <cellStyle name="HEADING2" xfId="631"/>
    <cellStyle name="Hipervínculo_IIF" xfId="632"/>
    <cellStyle name="imf-one decimal" xfId="633"/>
    <cellStyle name="imf-zero decimal" xfId="634"/>
    <cellStyle name="Input 2" xfId="635"/>
    <cellStyle name="Input 2 2" xfId="636"/>
    <cellStyle name="Input 2 3" xfId="637"/>
    <cellStyle name="Input 3" xfId="638"/>
    <cellStyle name="Input 3 2" xfId="639"/>
    <cellStyle name="Input 4" xfId="640"/>
    <cellStyle name="Input 4 2" xfId="641"/>
    <cellStyle name="Input 5" xfId="642"/>
    <cellStyle name="Input 6" xfId="643"/>
    <cellStyle name="Input 7 2" xfId="644"/>
    <cellStyle name="item" xfId="645"/>
    <cellStyle name="item 2" xfId="646"/>
    <cellStyle name="Linked Cell 2" xfId="647"/>
    <cellStyle name="Linked Cell 2 2" xfId="648"/>
    <cellStyle name="Linked Cell 2 3" xfId="649"/>
    <cellStyle name="Linked Cell 3" xfId="650"/>
    <cellStyle name="Linked Cell 3 2" xfId="651"/>
    <cellStyle name="Linked Cell 4" xfId="652"/>
    <cellStyle name="Linked Cell 4 2" xfId="653"/>
    <cellStyle name="Linked Cell 5" xfId="654"/>
    <cellStyle name="Linked Cell 6" xfId="655"/>
    <cellStyle name="Linked Cell 7 2" xfId="656"/>
    <cellStyle name="Millares [0]_BALPROGRAMA2001R" xfId="657"/>
    <cellStyle name="Millares_BALPROGRAMA2001R" xfId="658"/>
    <cellStyle name="Milliers [0]_Encours - Apr rééch" xfId="659"/>
    <cellStyle name="Milliers_Encours - Apr rééch" xfId="660"/>
    <cellStyle name="Moneda [0]_BALPROGRAMA2001R" xfId="661"/>
    <cellStyle name="Moneda_BALPROGRAMA2001R" xfId="662"/>
    <cellStyle name="Monétaire [0]_Encours - Apr rééch" xfId="663"/>
    <cellStyle name="Monétaire_Encours - Apr rééch" xfId="664"/>
    <cellStyle name="Neutral 2" xfId="665"/>
    <cellStyle name="Neutral 2 2" xfId="666"/>
    <cellStyle name="Neutral 2 3" xfId="667"/>
    <cellStyle name="Neutral 3" xfId="668"/>
    <cellStyle name="Neutral 3 2" xfId="669"/>
    <cellStyle name="Neutral 4" xfId="670"/>
    <cellStyle name="Neutral 4 2" xfId="671"/>
    <cellStyle name="Neutral 5" xfId="672"/>
    <cellStyle name="Neutral 6" xfId="673"/>
    <cellStyle name="Neutral 7 2" xfId="674"/>
    <cellStyle name="Normal" xfId="0" builtinId="0"/>
    <cellStyle name="Normal - Style1" xfId="675"/>
    <cellStyle name="Normal - Style2" xfId="676"/>
    <cellStyle name="Normal 10" xfId="677"/>
    <cellStyle name="Normal 10 2" xfId="678"/>
    <cellStyle name="Normal 11" xfId="679"/>
    <cellStyle name="Normal 11 2" xfId="680"/>
    <cellStyle name="Normal 11 2 2" xfId="681"/>
    <cellStyle name="Normal 12" xfId="682"/>
    <cellStyle name="Normal 12 2" xfId="683"/>
    <cellStyle name="Normal 12 2 2" xfId="684"/>
    <cellStyle name="Normal 12 2 3" xfId="685"/>
    <cellStyle name="Normal 13" xfId="686"/>
    <cellStyle name="Normal 13 2" xfId="687"/>
    <cellStyle name="Normal 13 2 2" xfId="688"/>
    <cellStyle name="Normal 13 5" xfId="689"/>
    <cellStyle name="Normal 14" xfId="690"/>
    <cellStyle name="Normal 14 2" xfId="691"/>
    <cellStyle name="Normal 15" xfId="692"/>
    <cellStyle name="Normal 16" xfId="693"/>
    <cellStyle name="Normal 16 2" xfId="694"/>
    <cellStyle name="Normal 17" xfId="695"/>
    <cellStyle name="Normal 18" xfId="696"/>
    <cellStyle name="Normal 19" xfId="697"/>
    <cellStyle name="Normal 19 2" xfId="698"/>
    <cellStyle name="Normal 2" xfId="699"/>
    <cellStyle name="Normal 2 10" xfId="700"/>
    <cellStyle name="Normal 2 10 2" xfId="701"/>
    <cellStyle name="Normal 2 11" xfId="702"/>
    <cellStyle name="Normal 2 11 2" xfId="703"/>
    <cellStyle name="Normal 2 12" xfId="704"/>
    <cellStyle name="Normal 2 12 2" xfId="705"/>
    <cellStyle name="Normal 2 17" xfId="706"/>
    <cellStyle name="Normal 2 17 2" xfId="707"/>
    <cellStyle name="Normal 2 18" xfId="708"/>
    <cellStyle name="Normal 2 18 2" xfId="709"/>
    <cellStyle name="Normal 2 2" xfId="710"/>
    <cellStyle name="Normal 2 2 2" xfId="711"/>
    <cellStyle name="Normal 2 2 2 2" xfId="712"/>
    <cellStyle name="Normal 2 2 2 2 2" xfId="713"/>
    <cellStyle name="Normal 2 2 2 2 2 2" xfId="714"/>
    <cellStyle name="Normal 2 2 2 2 2 2 2" xfId="715"/>
    <cellStyle name="Normal 2 2 2 2 2 2 3" xfId="716"/>
    <cellStyle name="Normal 2 2 2 2 2 3" xfId="717"/>
    <cellStyle name="Normal 2 2 2 2 2 3 2" xfId="718"/>
    <cellStyle name="Normal 2 2 2 2 2 4" xfId="719"/>
    <cellStyle name="Normal 2 2 2 2 3" xfId="720"/>
    <cellStyle name="Normal 2 2 2 2 3 2" xfId="721"/>
    <cellStyle name="Normal 2 2 2 2 4" xfId="722"/>
    <cellStyle name="Normal 2 2 2 3" xfId="723"/>
    <cellStyle name="Normal 2 2 2 3 2" xfId="724"/>
    <cellStyle name="Normal 2 2 2 4" xfId="725"/>
    <cellStyle name="Normal 2 2 2 5" xfId="726"/>
    <cellStyle name="Normal 2 2 2 6" xfId="727"/>
    <cellStyle name="Normal 2 2 3" xfId="728"/>
    <cellStyle name="Normal 2 2 3 2" xfId="729"/>
    <cellStyle name="Normal 2 2 3 2 2" xfId="730"/>
    <cellStyle name="Normal 2 2 3 3" xfId="731"/>
    <cellStyle name="Normal 2 2 4" xfId="732"/>
    <cellStyle name="Normal 2 2 4 2" xfId="733"/>
    <cellStyle name="Normal 2 2 5" xfId="734"/>
    <cellStyle name="Normal 2 2 5 2" xfId="735"/>
    <cellStyle name="Normal 2 2 6" xfId="736"/>
    <cellStyle name="Normal 2 2 7" xfId="737"/>
    <cellStyle name="Normal 2 2 7 2" xfId="738"/>
    <cellStyle name="Normal 2 2 8" xfId="739"/>
    <cellStyle name="Normal 2 20" xfId="740"/>
    <cellStyle name="Normal 2 20 2" xfId="741"/>
    <cellStyle name="Normal 2 3" xfId="742"/>
    <cellStyle name="Normal 2 3 2" xfId="743"/>
    <cellStyle name="Normal 2 3 2 2" xfId="744"/>
    <cellStyle name="Normal 2 3 2 2 2" xfId="745"/>
    <cellStyle name="Normal 2 3 2 2 2 2" xfId="746"/>
    <cellStyle name="Normal 2 3 2 2 3" xfId="747"/>
    <cellStyle name="Normal 2 3 2 2 3 2" xfId="748"/>
    <cellStyle name="Normal 2 3 2 2 4" xfId="749"/>
    <cellStyle name="Normal 2 3 2 3" xfId="750"/>
    <cellStyle name="Normal 2 3 2 3 2" xfId="751"/>
    <cellStyle name="Normal 2 3 2 4" xfId="752"/>
    <cellStyle name="Normal 2 3 2 4 2" xfId="753"/>
    <cellStyle name="Normal 2 3 2 5" xfId="754"/>
    <cellStyle name="Normal 2 3 3" xfId="755"/>
    <cellStyle name="Normal 2 3 3 2" xfId="756"/>
    <cellStyle name="Normal 2 3 3 2 2" xfId="757"/>
    <cellStyle name="Normal 2 3 3 3" xfId="758"/>
    <cellStyle name="Normal 2 3 3 3 2" xfId="759"/>
    <cellStyle name="Normal 2 3 4" xfId="760"/>
    <cellStyle name="Normal 2 3 4 2" xfId="761"/>
    <cellStyle name="Normal 2 3 4 2 2" xfId="762"/>
    <cellStyle name="Normal 2 3 5" xfId="763"/>
    <cellStyle name="Normal 2 3 5 2" xfId="764"/>
    <cellStyle name="Normal 2 3 5 2 2" xfId="765"/>
    <cellStyle name="Normal 2 3 5 3" xfId="766"/>
    <cellStyle name="Normal 2 3 6" xfId="767"/>
    <cellStyle name="Normal 2 4" xfId="768"/>
    <cellStyle name="Normal 2 4 2" xfId="769"/>
    <cellStyle name="Normal 2 5" xfId="770"/>
    <cellStyle name="Normal 2 5 2" xfId="771"/>
    <cellStyle name="Normal 2 5 2 2" xfId="772"/>
    <cellStyle name="Normal 2 5 3" xfId="773"/>
    <cellStyle name="Normal 2 6" xfId="774"/>
    <cellStyle name="Normal 2 6 2" xfId="775"/>
    <cellStyle name="Normal 2 7" xfId="776"/>
    <cellStyle name="Normal 2 8" xfId="777"/>
    <cellStyle name="Normal 20" xfId="778"/>
    <cellStyle name="Normal 20 2" xfId="779"/>
    <cellStyle name="Normal 21" xfId="780"/>
    <cellStyle name="Normal 22" xfId="781"/>
    <cellStyle name="Normal 3" xfId="782"/>
    <cellStyle name="Normal 3 10" xfId="783"/>
    <cellStyle name="Normal 3 13" xfId="784"/>
    <cellStyle name="Normal 3 14" xfId="785"/>
    <cellStyle name="Normal 3 15" xfId="786"/>
    <cellStyle name="Normal 3 16" xfId="787"/>
    <cellStyle name="Normal 3 17" xfId="788"/>
    <cellStyle name="Normal 3 18" xfId="789"/>
    <cellStyle name="Normal 3 2" xfId="790"/>
    <cellStyle name="Normal 3 2 2" xfId="791"/>
    <cellStyle name="Normal 3 2 2 2" xfId="792"/>
    <cellStyle name="Normal 3 2 2 2 2" xfId="793"/>
    <cellStyle name="Normal 3 2 2 3" xfId="794"/>
    <cellStyle name="Normal 3 2 2 3 2" xfId="795"/>
    <cellStyle name="Normal 3 2 2 4" xfId="796"/>
    <cellStyle name="Normal 3 2 3" xfId="797"/>
    <cellStyle name="Normal 3 2 3 2" xfId="798"/>
    <cellStyle name="Normal 3 2 4" xfId="799"/>
    <cellStyle name="Normal 3 2 4 2" xfId="800"/>
    <cellStyle name="Normal 3 3" xfId="801"/>
    <cellStyle name="Normal 3 3 2" xfId="802"/>
    <cellStyle name="Normal 3 3 2 2" xfId="803"/>
    <cellStyle name="Normal 3 3 3" xfId="804"/>
    <cellStyle name="Normal 3 3 3 2" xfId="805"/>
    <cellStyle name="Normal 3 3 4" xfId="806"/>
    <cellStyle name="Normal 3 3 4 2" xfId="807"/>
    <cellStyle name="Normal 3 3 5" xfId="808"/>
    <cellStyle name="Normal 3 4" xfId="809"/>
    <cellStyle name="Normal 3 4 2" xfId="810"/>
    <cellStyle name="Normal 3 5" xfId="811"/>
    <cellStyle name="Normal 3 6" xfId="812"/>
    <cellStyle name="Normal 3 7" xfId="813"/>
    <cellStyle name="Normal 36" xfId="814"/>
    <cellStyle name="Normal 389" xfId="815"/>
    <cellStyle name="Normal 4" xfId="816"/>
    <cellStyle name="Normal 4 2" xfId="817"/>
    <cellStyle name="Normal 4 2 2" xfId="818"/>
    <cellStyle name="Normal 4 3" xfId="819"/>
    <cellStyle name="Normal 4 3 2" xfId="820"/>
    <cellStyle name="Normal 5" xfId="821"/>
    <cellStyle name="Normal 5 2" xfId="822"/>
    <cellStyle name="Normal 5 2 2" xfId="823"/>
    <cellStyle name="Normal 5 3" xfId="824"/>
    <cellStyle name="Normal 5 3 2" xfId="825"/>
    <cellStyle name="Normal 5 4" xfId="826"/>
    <cellStyle name="Normal 5 4 2" xfId="827"/>
    <cellStyle name="Normal 5 5" xfId="828"/>
    <cellStyle name="Normal 5 5 2" xfId="829"/>
    <cellStyle name="Normal 5 6" xfId="830"/>
    <cellStyle name="Normal 5 6 2" xfId="831"/>
    <cellStyle name="Normal 5 7" xfId="832"/>
    <cellStyle name="Normal 6" xfId="833"/>
    <cellStyle name="Normal 6 2" xfId="834"/>
    <cellStyle name="Normal 6 2 2" xfId="835"/>
    <cellStyle name="Normal 7" xfId="836"/>
    <cellStyle name="Normal 7 2" xfId="837"/>
    <cellStyle name="Normal 7 2 2" xfId="838"/>
    <cellStyle name="Normal 7 3" xfId="839"/>
    <cellStyle name="Normal 7 3 2" xfId="840"/>
    <cellStyle name="Normal 7 4" xfId="841"/>
    <cellStyle name="Normal 7 4 2" xfId="842"/>
    <cellStyle name="Normal 7 5" xfId="843"/>
    <cellStyle name="Normal 8" xfId="844"/>
    <cellStyle name="Normal 8 2" xfId="845"/>
    <cellStyle name="Normal 9" xfId="846"/>
    <cellStyle name="Normal 9 2" xfId="847"/>
    <cellStyle name="Normal 9 2 2" xfId="848"/>
    <cellStyle name="Normal 9 3" xfId="849"/>
    <cellStyle name="Normal Table" xfId="850"/>
    <cellStyle name="Normal Table 2" xfId="851"/>
    <cellStyle name="Normal Table 3" xfId="852"/>
    <cellStyle name="Normal Table 4" xfId="853"/>
    <cellStyle name="Normal Table 5" xfId="854"/>
    <cellStyle name="Normal Table 6" xfId="855"/>
    <cellStyle name="Normal_Sheet1" xfId="3"/>
    <cellStyle name="Note 2" xfId="856"/>
    <cellStyle name="Note 2 2" xfId="857"/>
    <cellStyle name="Note 2 2 2" xfId="858"/>
    <cellStyle name="Note 2 3" xfId="859"/>
    <cellStyle name="Note 2 4" xfId="860"/>
    <cellStyle name="Note 3" xfId="861"/>
    <cellStyle name="Note 3 2" xfId="862"/>
    <cellStyle name="Note 3 3" xfId="863"/>
    <cellStyle name="Note 4" xfId="864"/>
    <cellStyle name="Note 4 2" xfId="865"/>
    <cellStyle name="Note 4 3" xfId="866"/>
    <cellStyle name="Note 5" xfId="867"/>
    <cellStyle name="Note 5 2" xfId="868"/>
    <cellStyle name="Note 6" xfId="869"/>
    <cellStyle name="Note 6 2" xfId="870"/>
    <cellStyle name="Note 7 2" xfId="871"/>
    <cellStyle name="Output 2" xfId="872"/>
    <cellStyle name="Output 2 2" xfId="873"/>
    <cellStyle name="Output 2 3" xfId="874"/>
    <cellStyle name="Output 3" xfId="875"/>
    <cellStyle name="Output 3 2" xfId="876"/>
    <cellStyle name="Output 4" xfId="877"/>
    <cellStyle name="Output 4 2" xfId="878"/>
    <cellStyle name="Output 5" xfId="879"/>
    <cellStyle name="Output 6" xfId="880"/>
    <cellStyle name="Output 7 2" xfId="881"/>
    <cellStyle name="Percent" xfId="2" builtinId="5"/>
    <cellStyle name="Percent 2" xfId="882"/>
    <cellStyle name="Percent 2 2" xfId="883"/>
    <cellStyle name="Percent 2 2 2" xfId="884"/>
    <cellStyle name="Percent 2 3" xfId="885"/>
    <cellStyle name="Percent 2 3 2" xfId="886"/>
    <cellStyle name="Percent 2 4" xfId="887"/>
    <cellStyle name="Percent 3" xfId="888"/>
    <cellStyle name="Percent 3 2" xfId="889"/>
    <cellStyle name="Percent 3 2 2" xfId="890"/>
    <cellStyle name="Percent 3 3" xfId="891"/>
    <cellStyle name="percentage difference one decimal" xfId="892"/>
    <cellStyle name="percentage difference zero decimal" xfId="893"/>
    <cellStyle name="Publication" xfId="894"/>
    <cellStyle name="Richard" xfId="895"/>
    <cellStyle name="SHEET" xfId="896"/>
    <cellStyle name="Text" xfId="897"/>
    <cellStyle name="Text 2" xfId="898"/>
    <cellStyle name="Text 2 2" xfId="899"/>
    <cellStyle name="Text 3" xfId="900"/>
    <cellStyle name="Text 3 2" xfId="901"/>
    <cellStyle name="Text 4" xfId="902"/>
    <cellStyle name="Text 4 2" xfId="903"/>
    <cellStyle name="Text 5" xfId="904"/>
    <cellStyle name="Text 5 2" xfId="905"/>
    <cellStyle name="Text 6" xfId="906"/>
    <cellStyle name="Text 6 2" xfId="907"/>
    <cellStyle name="Text 7" xfId="908"/>
    <cellStyle name="Title 2" xfId="909"/>
    <cellStyle name="Title 2 2" xfId="910"/>
    <cellStyle name="Title 2 3" xfId="911"/>
    <cellStyle name="Title 3" xfId="912"/>
    <cellStyle name="Title 3 2" xfId="913"/>
    <cellStyle name="Title 4" xfId="914"/>
    <cellStyle name="Title 4 2" xfId="915"/>
    <cellStyle name="Title 5" xfId="916"/>
    <cellStyle name="Title 6" xfId="917"/>
    <cellStyle name="Title 7 2" xfId="918"/>
    <cellStyle name="Total 2" xfId="919"/>
    <cellStyle name="Total 2 2" xfId="920"/>
    <cellStyle name="Total 2 3" xfId="921"/>
    <cellStyle name="Total 2 3 2" xfId="922"/>
    <cellStyle name="Total 2 4" xfId="923"/>
    <cellStyle name="Total 2 4 2" xfId="924"/>
    <cellStyle name="Total 2 5" xfId="925"/>
    <cellStyle name="Total 2 6" xfId="926"/>
    <cellStyle name="Total 2 6 2" xfId="927"/>
    <cellStyle name="Total 3" xfId="928"/>
    <cellStyle name="Total 3 2" xfId="929"/>
    <cellStyle name="Total 4" xfId="930"/>
    <cellStyle name="Total 4 2" xfId="931"/>
    <cellStyle name="Total 5" xfId="932"/>
    <cellStyle name="Total 6" xfId="933"/>
    <cellStyle name="Total 7 2" xfId="934"/>
    <cellStyle name="Warning Text 2" xfId="935"/>
    <cellStyle name="Warning Text 2 2" xfId="936"/>
    <cellStyle name="Warning Text 2 3" xfId="937"/>
    <cellStyle name="Warning Text 3" xfId="938"/>
    <cellStyle name="Warning Text 3 2" xfId="939"/>
    <cellStyle name="Warning Text 4" xfId="940"/>
    <cellStyle name="Warning Text 4 2" xfId="941"/>
    <cellStyle name="Warning Text 5" xfId="942"/>
    <cellStyle name="Warning Text 6" xfId="943"/>
    <cellStyle name="Warning Text 7 2" xfId="944"/>
    <cellStyle name="ДАТА" xfId="945"/>
    <cellStyle name="ДЕНЕЖНЫЙ_BOPENGC" xfId="946"/>
    <cellStyle name="ЗАГОЛОВОК1" xfId="947"/>
    <cellStyle name="ЗАГОЛОВОК2" xfId="948"/>
    <cellStyle name="ИТОГОВЫЙ" xfId="949"/>
    <cellStyle name="Обычный_BOPENGC" xfId="950"/>
    <cellStyle name="ПРОЦЕНТНЫЙ_BOPENGC" xfId="951"/>
    <cellStyle name="ТЕКСТ" xfId="952"/>
    <cellStyle name="ФИКСИРОВАННЫЙ" xfId="953"/>
    <cellStyle name="ФИНАНСОВЫЙ_BOPENGC" xfId="9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42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-working\Bo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ice%20Data\Debt%20Managment%20Data\Peports\World%20Bank,%20Kabul%20office\imf1s\vol1\data\wrs\me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-working\BoP\DATA\DH\GEO\BOP\Data\FLOW2004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-working\BoP\DATA\S1\ECU\SECTORS\External\PERUMF9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-working\BoP%20new%20formate\83703840f58b9_512F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-working\Bo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ffice%20Data\Debt%20Managment%20Data\Peports\Suprem%20Audit%20Office\1399\Audit%20Report\107\Bulgari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ffice%20Data\Debt%20Managment%20Data\Peports\Suprem%20Audit%20Office\1399\Audit%20Report\107\OPE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DD\GEO\BOP\Geo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ice%20Data\Debt%20Managment%20Data\Peports\World%20Bank,%20Kabul%20office\Data1\mcd\DATA\IRN\IR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-working\Bo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Psurvey\Agriculture\AgCropQ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-working\BoP\Documents%20and%20Settings\JMATZ\My%20Local%20Documents\EXCEL\Guyana\2003%20Mission\Final\Other%20Depository%20Corporations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-working\BoP\Documents%20and%20Settings\LABREGO\My%20Local%20Documents\Ecuador\ecubopLa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WRS\MED\WEO\wrs42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dulhaq.fahim.MOF\Downloads\On-lending\DABS\DABS%201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S2006START</v>
          </cell>
        </row>
        <row r="61">
          <cell r="D61">
            <v>38905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0">
          <cell r="AB20" t="str">
            <v>WEO, World Economic Outlook</v>
          </cell>
        </row>
        <row r="23">
          <cell r="AB23" t="str">
            <v>U</v>
          </cell>
        </row>
        <row r="25">
          <cell r="AB25" t="b">
            <v>0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 Form"/>
      <sheetName val="Control"/>
    </sheetNames>
    <sheetDataSet>
      <sheetData sheetId="0" refreshError="1"/>
      <sheetData sheetId="1"/>
      <sheetData sheetId="2">
        <row r="3">
          <cell r="C3" t="str">
            <v>2005Q1-2013Q4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103"/>
    </sheetNames>
    <sheetDataSet>
      <sheetData sheetId="0">
        <row r="16">
          <cell r="D16">
            <v>4000000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"/>
    </sheetNames>
    <sheetDataSet>
      <sheetData sheetId="0">
        <row r="27">
          <cell r="H27">
            <v>179609.39</v>
          </cell>
        </row>
        <row r="37">
          <cell r="H37">
            <v>296820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REO History"/>
      <sheetName val="OUTREO"/>
      <sheetName val="WEOREO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  <sheetName val="Sheet1 (2)"/>
      <sheetName val="OUT REO"/>
      <sheetName val="OUT REO History"/>
      <sheetName val="Sheet1"/>
      <sheetName val="EREER"/>
      <sheetName val="ER-basket"/>
      <sheetName val="Sheet2"/>
      <sheetName val="BOPcopy"/>
      <sheetName val="Debt tbls from CBI"/>
      <sheetName val="WB debt "/>
      <sheetName val="Ch Ex rate"/>
      <sheetName val="Oil prod"/>
      <sheetName val="Complete Data Set (Quarterly)"/>
      <sheetName val="EREER NEW"/>
      <sheetName val="Info from press"/>
      <sheetName val="EREER (annual)"/>
      <sheetName val="Cells with dependents"/>
      <sheetName val="TOTAL STOCK Of DEBT"/>
      <sheetName val="DEBT FROM CBI"/>
      <sheetName val="Composition of imports"/>
      <sheetName val="Old Stock OF DEBT"/>
      <sheetName val="DEBT FLOW"/>
      <sheetName val="Assumptions"/>
      <sheetName val="CAPITAL OUTFLOW"/>
      <sheetName val="STOCK OF OLD 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-95"/>
      <sheetName val="90"/>
      <sheetName val="97"/>
      <sheetName val="98"/>
      <sheetName val="99"/>
      <sheetName val="00"/>
      <sheetName val="01"/>
      <sheetName val="02"/>
      <sheetName val="Tot"/>
      <sheetName val="Meyer"/>
      <sheetName val="Sheet5"/>
      <sheetName val="Sheet4"/>
      <sheetName val="Sheet3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03">
          <cell r="D203">
            <v>1</v>
          </cell>
        </row>
        <row r="292">
          <cell r="B292">
            <v>2572.3628711081592</v>
          </cell>
        </row>
        <row r="293">
          <cell r="B293">
            <v>2810.3477020649402</v>
          </cell>
        </row>
        <row r="294">
          <cell r="B294">
            <v>3296.5010958918911</v>
          </cell>
        </row>
        <row r="295">
          <cell r="B295">
            <v>3662.4359814217332</v>
          </cell>
        </row>
        <row r="296">
          <cell r="B296">
            <v>2563.6151469128367</v>
          </cell>
        </row>
        <row r="297">
          <cell r="B297">
            <v>4337.7985969923166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 refreshError="1">
        <row r="10">
          <cell r="E10">
            <v>-3.3696615896227924E-2</v>
          </cell>
          <cell r="F10">
            <v>13.749185311642679</v>
          </cell>
          <cell r="G10">
            <v>-3.7911318862071517</v>
          </cell>
          <cell r="H10">
            <v>-4.0599867559138145</v>
          </cell>
          <cell r="I10">
            <v>3.6832275297559494</v>
          </cell>
          <cell r="J10">
            <v>-0.27081074202761007</v>
          </cell>
          <cell r="K10">
            <v>-0.56808280097582353</v>
          </cell>
          <cell r="L10">
            <v>-1.1721421109853276</v>
          </cell>
          <cell r="M10">
            <v>-6.8016825268099508</v>
          </cell>
          <cell r="N10">
            <v>-2.8114641555438515</v>
          </cell>
          <cell r="O10">
            <v>-2.2516352361409209</v>
          </cell>
          <cell r="P10">
            <v>-3.238628325385013</v>
          </cell>
          <cell r="Q10">
            <v>-3.0803565209786852</v>
          </cell>
          <cell r="R10">
            <v>-11.775497641531437</v>
          </cell>
          <cell r="S10">
            <v>-6.5630970178032699</v>
          </cell>
          <cell r="T10">
            <v>-5.2321475842018392</v>
          </cell>
          <cell r="U10">
            <v>7.5221683635998167</v>
          </cell>
          <cell r="V10">
            <v>3.9447545317393709</v>
          </cell>
          <cell r="W10">
            <v>4.9075296233936783</v>
          </cell>
          <cell r="X10">
            <v>2.1748876768682166</v>
          </cell>
          <cell r="Y10">
            <v>-2.2696392569124417</v>
          </cell>
          <cell r="Z10">
            <v>6.5205126442855494</v>
          </cell>
          <cell r="AA10">
            <v>13.751730593657975</v>
          </cell>
          <cell r="AB10">
            <v>5.726812879565105</v>
          </cell>
          <cell r="AC10">
            <v>4.6103384271093546</v>
          </cell>
          <cell r="AD10">
            <v>1.9297788300828973</v>
          </cell>
          <cell r="AE10">
            <v>0.67370450400483106</v>
          </cell>
          <cell r="AF10">
            <v>-0.24571255309962028</v>
          </cell>
          <cell r="AG10">
            <v>-0.46893589474104058</v>
          </cell>
          <cell r="AH10">
            <v>-0.64985278631998389</v>
          </cell>
        </row>
        <row r="15">
          <cell r="E15">
            <v>27.472008360488879</v>
          </cell>
          <cell r="F15">
            <v>20.54145611630247</v>
          </cell>
          <cell r="G15">
            <v>25.52977944718166</v>
          </cell>
          <cell r="H15">
            <v>12.959022356136346</v>
          </cell>
          <cell r="I15">
            <v>12.387008322341954</v>
          </cell>
          <cell r="J15">
            <v>20.961007667644459</v>
          </cell>
          <cell r="K15">
            <v>22.047007990940074</v>
          </cell>
          <cell r="L15">
            <v>17.562007887228035</v>
          </cell>
          <cell r="M15">
            <v>14.545008195503272</v>
          </cell>
          <cell r="N15">
            <v>7.413008002503398</v>
          </cell>
          <cell r="O15">
            <v>12.147008223398171</v>
          </cell>
          <cell r="P15">
            <v>10.953007591827429</v>
          </cell>
          <cell r="Q15">
            <v>13.527008486850773</v>
          </cell>
          <cell r="R15">
            <v>20.197008324726124</v>
          </cell>
          <cell r="S15">
            <v>19.542007876499174</v>
          </cell>
          <cell r="T15">
            <v>20.368008030517601</v>
          </cell>
          <cell r="U15">
            <v>19.080007923706098</v>
          </cell>
          <cell r="V15">
            <v>19.800007624490764</v>
          </cell>
          <cell r="W15">
            <v>19.269300043582916</v>
          </cell>
          <cell r="X15">
            <v>23.739000797271729</v>
          </cell>
          <cell r="Y15">
            <v>20.039000511169434</v>
          </cell>
          <cell r="Z15">
            <v>15.141000032424927</v>
          </cell>
          <cell r="AA15">
            <v>22.426000714302063</v>
          </cell>
          <cell r="AB15">
            <v>30.131999254226685</v>
          </cell>
          <cell r="AC15">
            <v>27.75145435333252</v>
          </cell>
          <cell r="AD15">
            <v>27.991451025009155</v>
          </cell>
          <cell r="AE15">
            <v>28.714576959609985</v>
          </cell>
          <cell r="AF15">
            <v>29.726942777633667</v>
          </cell>
          <cell r="AG15">
            <v>30.969631910324097</v>
          </cell>
          <cell r="AH15">
            <v>32.48064136505127</v>
          </cell>
        </row>
        <row r="16">
          <cell r="E16">
            <v>-24.792133007019061</v>
          </cell>
          <cell r="F16">
            <v>-20.871737155883793</v>
          </cell>
          <cell r="G16">
            <v>-14.13800350186157</v>
          </cell>
          <cell r="H16">
            <v>-16.02903285977176</v>
          </cell>
          <cell r="I16">
            <v>-16.452992591827361</v>
          </cell>
          <cell r="J16">
            <v>-15.612993154495271</v>
          </cell>
          <cell r="K16">
            <v>-22.29999319073487</v>
          </cell>
          <cell r="L16">
            <v>-18.426993045776332</v>
          </cell>
          <cell r="M16">
            <v>-15.31399265286254</v>
          </cell>
          <cell r="N16">
            <v>-12.866993102996849</v>
          </cell>
          <cell r="O16">
            <v>-14.37699309346007</v>
          </cell>
          <cell r="P16">
            <v>-12.962992820709189</v>
          </cell>
          <cell r="Q16">
            <v>-16.465992841690031</v>
          </cell>
          <cell r="R16">
            <v>-22.369992885559132</v>
          </cell>
          <cell r="S16">
            <v>-30.989993724792459</v>
          </cell>
          <cell r="T16">
            <v>-28.973992977111841</v>
          </cell>
          <cell r="U16">
            <v>-24.886993560760473</v>
          </cell>
          <cell r="V16">
            <v>-15.799993429153419</v>
          </cell>
          <cell r="W16">
            <v>-15.907000064849854</v>
          </cell>
          <cell r="X16">
            <v>-18.970000267028809</v>
          </cell>
          <cell r="Y16">
            <v>-18.219000339508057</v>
          </cell>
          <cell r="Z16">
            <v>-17.778000354766846</v>
          </cell>
          <cell r="AA16">
            <v>-16.849999666213989</v>
          </cell>
          <cell r="AB16">
            <v>-18.716281175613403</v>
          </cell>
          <cell r="AC16">
            <v>-23.290533781051636</v>
          </cell>
          <cell r="AD16">
            <v>-26.0375075340271</v>
          </cell>
          <cell r="AE16">
            <v>-27.931982040405273</v>
          </cell>
          <cell r="AF16">
            <v>-29.663566112518311</v>
          </cell>
          <cell r="AG16">
            <v>-31.118617534637451</v>
          </cell>
          <cell r="AH16">
            <v>-32.598158359527588</v>
          </cell>
        </row>
        <row r="18">
          <cell r="E18">
            <v>23.9168437849121</v>
          </cell>
          <cell r="F18">
            <v>17.558155430419902</v>
          </cell>
          <cell r="G18">
            <v>24.011217487915001</v>
          </cell>
          <cell r="H18">
            <v>12.256447208984399</v>
          </cell>
          <cell r="I18">
            <v>11.831008328064</v>
          </cell>
          <cell r="J18">
            <v>20.452007664306599</v>
          </cell>
          <cell r="K18">
            <v>21.507007969482402</v>
          </cell>
          <cell r="L18">
            <v>17.087007893188499</v>
          </cell>
          <cell r="M18">
            <v>14.1750081907349</v>
          </cell>
          <cell r="N18">
            <v>7.1710080038147002</v>
          </cell>
          <cell r="O18">
            <v>11.9160083662109</v>
          </cell>
          <cell r="P18">
            <v>10.709007633789099</v>
          </cell>
          <cell r="Q18">
            <v>13.081008328064</v>
          </cell>
          <cell r="R18">
            <v>19.3050083051758</v>
          </cell>
          <cell r="S18">
            <v>18.661007298095701</v>
          </cell>
          <cell r="T18">
            <v>19.868008030517601</v>
          </cell>
          <cell r="U18">
            <v>18.080007923706098</v>
          </cell>
          <cell r="V18">
            <v>19.400007618530299</v>
          </cell>
          <cell r="W18">
            <v>18.360300064086914</v>
          </cell>
          <cell r="X18">
            <v>22.391000747680664</v>
          </cell>
          <cell r="Y18">
            <v>18.381000518798828</v>
          </cell>
          <cell r="Z18">
            <v>13.118000030517578</v>
          </cell>
          <cell r="AA18">
            <v>21.030000686645508</v>
          </cell>
          <cell r="AB18">
            <v>28.344999313354492</v>
          </cell>
          <cell r="AC18">
            <v>25.912693023681641</v>
          </cell>
          <cell r="AD18">
            <v>25.744438171386719</v>
          </cell>
          <cell r="AE18">
            <v>25.805103302001953</v>
          </cell>
          <cell r="AF18">
            <v>26.469738006591797</v>
          </cell>
          <cell r="AG18">
            <v>27.436824798583984</v>
          </cell>
          <cell r="AH18">
            <v>28.868244171142578</v>
          </cell>
        </row>
        <row r="19">
          <cell r="E19">
            <v>23.916842784912099</v>
          </cell>
          <cell r="F19">
            <v>-26.58665337147691</v>
          </cell>
          <cell r="G19">
            <v>36.752505598139443</v>
          </cell>
          <cell r="H19">
            <v>-48.955328003866747</v>
          </cell>
          <cell r="I19">
            <v>-3.4711435839950266</v>
          </cell>
          <cell r="J19">
            <v>72.86783253962362</v>
          </cell>
          <cell r="K19">
            <v>5.1584192735122905</v>
          </cell>
          <cell r="L19">
            <v>-20.551441104991028</v>
          </cell>
          <cell r="M19">
            <v>-17.04218620753624</v>
          </cell>
          <cell r="N19">
            <v>-49.410907511843064</v>
          </cell>
          <cell r="O19">
            <v>66.16922418538708</v>
          </cell>
          <cell r="P19">
            <v>-10.129237034142898</v>
          </cell>
          <cell r="Q19">
            <v>22.149584493625305</v>
          </cell>
          <cell r="R19">
            <v>47.580429742245698</v>
          </cell>
          <cell r="S19">
            <v>-3.3359271174591441</v>
          </cell>
          <cell r="T19">
            <v>6.468036334485924</v>
          </cell>
          <cell r="U19">
            <v>-8.9993929137994275</v>
          </cell>
          <cell r="V19">
            <v>7.3008800681632842</v>
          </cell>
          <cell r="W19">
            <v>-5.3593151863006909</v>
          </cell>
          <cell r="X19">
            <v>21.953348635504465</v>
          </cell>
          <cell r="Y19">
            <v>-17.908981711311878</v>
          </cell>
          <cell r="Z19">
            <v>-28.63282922438642</v>
          </cell>
          <cell r="AA19">
            <v>60.314077128537377</v>
          </cell>
          <cell r="AB19">
            <v>34.783634749732379</v>
          </cell>
          <cell r="AC19">
            <v>-8.5810772573449761</v>
          </cell>
          <cell r="AD19">
            <v>-0.64931441954394153</v>
          </cell>
          <cell r="AE19">
            <v>0.23564363771068716</v>
          </cell>
          <cell r="AF19">
            <v>2.5755940474699885</v>
          </cell>
          <cell r="AG19">
            <v>3.6535563432904117</v>
          </cell>
          <cell r="AH19">
            <v>5.2171466015720211</v>
          </cell>
        </row>
        <row r="26">
          <cell r="E26">
            <v>-16.636413203613301</v>
          </cell>
          <cell r="F26">
            <v>-11.745405780212399</v>
          </cell>
          <cell r="G26">
            <v>-8.4794193376464797</v>
          </cell>
          <cell r="H26">
            <v>-10.8348699678345</v>
          </cell>
          <cell r="I26">
            <v>-13.137991534606901</v>
          </cell>
          <cell r="J26">
            <v>-12.5519920457764</v>
          </cell>
          <cell r="K26">
            <v>-18.0269924272461</v>
          </cell>
          <cell r="L26">
            <v>-14.7289920915527</v>
          </cell>
          <cell r="M26">
            <v>-12.0059915651245</v>
          </cell>
          <cell r="N26">
            <v>-10.584992038147</v>
          </cell>
          <cell r="O26">
            <v>-12.004992114440901</v>
          </cell>
          <cell r="P26">
            <v>-10.6079918016357</v>
          </cell>
          <cell r="Q26">
            <v>-13.4479919542236</v>
          </cell>
          <cell r="R26">
            <v>-18.3299919237061</v>
          </cell>
          <cell r="S26">
            <v>-25.189992534057598</v>
          </cell>
          <cell r="T26">
            <v>-23.2739921678467</v>
          </cell>
          <cell r="U26">
            <v>-19.2869926561279</v>
          </cell>
          <cell r="V26">
            <v>-12.599992381469701</v>
          </cell>
          <cell r="W26">
            <v>-12.77400016784668</v>
          </cell>
          <cell r="X26">
            <v>-14.98900032043457</v>
          </cell>
          <cell r="Y26">
            <v>-14.123000144958496</v>
          </cell>
          <cell r="Z26">
            <v>-14.28600025177002</v>
          </cell>
          <cell r="AA26">
            <v>-13.432999610900879</v>
          </cell>
          <cell r="AB26">
            <v>-15.206999778747559</v>
          </cell>
          <cell r="AC26">
            <v>-16.622467041015625</v>
          </cell>
          <cell r="AD26">
            <v>-18.642398834228516</v>
          </cell>
          <cell r="AE26">
            <v>-20.918064117431641</v>
          </cell>
          <cell r="AF26">
            <v>-23.560115814208984</v>
          </cell>
          <cell r="AG26">
            <v>-25.865850448608398</v>
          </cell>
          <cell r="AH26">
            <v>-27.643220901489258</v>
          </cell>
        </row>
        <row r="27">
          <cell r="F27">
            <v>-29.399410579310526</v>
          </cell>
          <cell r="G27">
            <v>-27.806501569048891</v>
          </cell>
          <cell r="H27">
            <v>27.778442560688259</v>
          </cell>
          <cell r="I27">
            <v>21.256568593898052</v>
          </cell>
          <cell r="J27">
            <v>-4.4603430234135422</v>
          </cell>
          <cell r="K27">
            <v>43.618577525405414</v>
          </cell>
          <cell r="L27">
            <v>-18.29478959956062</v>
          </cell>
          <cell r="M27">
            <v>-18.487351405327196</v>
          </cell>
          <cell r="N27">
            <v>-11.83575316765404</v>
          </cell>
          <cell r="O27">
            <v>13.415221014587415</v>
          </cell>
          <cell r="P27">
            <v>-11.636828241850637</v>
          </cell>
          <cell r="Q27">
            <v>26.772269489782087</v>
          </cell>
          <cell r="R27">
            <v>36.302817447397523</v>
          </cell>
          <cell r="S27">
            <v>37.425006180605507</v>
          </cell>
          <cell r="T27">
            <v>-7.6061966418624793</v>
          </cell>
          <cell r="U27">
            <v>-17.130707456483925</v>
          </cell>
          <cell r="V27">
            <v>-34.671036557550579</v>
          </cell>
          <cell r="W27">
            <v>1.3810150126192562</v>
          </cell>
          <cell r="X27">
            <v>17.33991015722113</v>
          </cell>
          <cell r="Y27">
            <v>-5.7775712653461779</v>
          </cell>
          <cell r="Z27">
            <v>1.1541464641966304</v>
          </cell>
          <cell r="AA27">
            <v>-5.9708849631544343</v>
          </cell>
          <cell r="AB27">
            <v>13.206284666360585</v>
          </cell>
          <cell r="AC27">
            <v>9.3079981775645404</v>
          </cell>
          <cell r="AD27">
            <v>12.151817105299394</v>
          </cell>
          <cell r="AE27">
            <v>12.206933793439033</v>
          </cell>
          <cell r="AF27">
            <v>12.630479005825613</v>
          </cell>
          <cell r="AG27">
            <v>9.7866014436518078</v>
          </cell>
          <cell r="AH27">
            <v>6.8714943528040191</v>
          </cell>
        </row>
        <row r="29">
          <cell r="F29">
            <v>11.900993593112982</v>
          </cell>
          <cell r="G29">
            <v>-37.997169384756042</v>
          </cell>
          <cell r="H29">
            <v>-8.2073773381088042</v>
          </cell>
          <cell r="I29">
            <v>-36.178345492730337</v>
          </cell>
          <cell r="J29">
            <v>-7.6621400940355429</v>
          </cell>
          <cell r="K29">
            <v>39.594890941613286</v>
          </cell>
          <cell r="L29">
            <v>-13.456584158471166</v>
          </cell>
          <cell r="M29">
            <v>-10.546237731565029</v>
          </cell>
          <cell r="N29">
            <v>-31.015719337231136</v>
          </cell>
          <cell r="O29">
            <v>3.9439049786022569</v>
          </cell>
          <cell r="P29">
            <v>-0.71669309005262238</v>
          </cell>
          <cell r="Q29">
            <v>28.152860425613902</v>
          </cell>
          <cell r="R29">
            <v>33.863489479602165</v>
          </cell>
          <cell r="S29">
            <v>43.564362512384008</v>
          </cell>
          <cell r="T29">
            <v>-1.7241444513995681</v>
          </cell>
          <cell r="U29">
            <v>-1.7543843505051344</v>
          </cell>
          <cell r="V29">
            <v>-42.857141032510796</v>
          </cell>
          <cell r="W29">
            <v>-2.0937546775676839</v>
          </cell>
          <cell r="X29">
            <v>27.066711697060914</v>
          </cell>
          <cell r="Y29">
            <v>2.8887276939982236</v>
          </cell>
          <cell r="Z29">
            <v>-14.746095284772236</v>
          </cell>
          <cell r="AA29">
            <v>-16.122571179072693</v>
          </cell>
          <cell r="AB29">
            <v>-0.95595352945792278</v>
          </cell>
          <cell r="AC29">
            <v>-0.86404338840054584</v>
          </cell>
          <cell r="AD29">
            <v>8.6738102134691015</v>
          </cell>
          <cell r="AE29">
            <v>10.382639968314471</v>
          </cell>
          <cell r="AF29">
            <v>11.363014695505818</v>
          </cell>
          <cell r="AG29">
            <v>9.5402846169489415</v>
          </cell>
          <cell r="AH29">
            <v>5.4840497709871077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030"/>
      <sheetName val="2007030"/>
      <sheetName val="2009030"/>
      <sheetName val="2010030"/>
      <sheetName val="2011030"/>
      <sheetName val="2012030"/>
      <sheetName val="2013030"/>
      <sheetName val="2014030"/>
      <sheetName val="2014031"/>
      <sheetName val="2015030"/>
      <sheetName val="2016030"/>
      <sheetName val="2017030"/>
      <sheetName val="2018030"/>
      <sheetName val="2018031"/>
      <sheetName val="Sheet14"/>
      <sheetName val="DABS 107"/>
    </sheetNames>
    <definedNames>
      <definedName name="BFLD_DF" refersTo="#REF!"/>
    </definedNames>
    <sheetDataSet>
      <sheetData sheetId="0">
        <row r="1">
          <cell r="I1" t="str">
            <v>Row Labels</v>
          </cell>
        </row>
      </sheetData>
      <sheetData sheetId="1">
        <row r="1">
          <cell r="I1" t="str">
            <v>Row Labels</v>
          </cell>
        </row>
      </sheetData>
      <sheetData sheetId="2">
        <row r="1">
          <cell r="I1" t="str">
            <v>Row Labels</v>
          </cell>
        </row>
      </sheetData>
      <sheetData sheetId="3">
        <row r="1">
          <cell r="I1" t="str">
            <v>Row Labels</v>
          </cell>
        </row>
      </sheetData>
      <sheetData sheetId="4">
        <row r="1">
          <cell r="I1" t="str">
            <v>Row Labels</v>
          </cell>
        </row>
      </sheetData>
      <sheetData sheetId="5">
        <row r="1">
          <cell r="J1" t="str">
            <v>Sum of Loan Currency Amount</v>
          </cell>
        </row>
      </sheetData>
      <sheetData sheetId="6">
        <row r="1">
          <cell r="I1" t="str">
            <v>Row Labels</v>
          </cell>
        </row>
      </sheetData>
      <sheetData sheetId="7">
        <row r="1">
          <cell r="I1" t="str">
            <v>Row Labels</v>
          </cell>
        </row>
      </sheetData>
      <sheetData sheetId="8">
        <row r="1">
          <cell r="I1" t="str">
            <v>Row Labels</v>
          </cell>
        </row>
      </sheetData>
      <sheetData sheetId="9">
        <row r="1">
          <cell r="I1" t="str">
            <v>Row Labels</v>
          </cell>
        </row>
      </sheetData>
      <sheetData sheetId="10">
        <row r="1">
          <cell r="I1" t="str">
            <v>Row Labels</v>
          </cell>
        </row>
      </sheetData>
      <sheetData sheetId="11">
        <row r="1">
          <cell r="I1" t="str">
            <v>Row Labels</v>
          </cell>
        </row>
      </sheetData>
      <sheetData sheetId="12">
        <row r="8">
          <cell r="H8">
            <v>1808278.72</v>
          </cell>
        </row>
      </sheetData>
      <sheetData sheetId="13">
        <row r="1">
          <cell r="I1" t="str">
            <v>Row Labels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rightToLeft="1" tabSelected="1" zoomScale="85" zoomScaleNormal="85" workbookViewId="0">
      <selection activeCell="C10" sqref="C10:D10"/>
    </sheetView>
  </sheetViews>
  <sheetFormatPr defaultRowHeight="18.75"/>
  <cols>
    <col min="1" max="1" width="7.5703125" bestFit="1" customWidth="1"/>
    <col min="2" max="2" width="11.7109375" style="24" bestFit="1" customWidth="1"/>
    <col min="3" max="3" width="8.85546875" customWidth="1"/>
    <col min="4" max="4" width="46.7109375" customWidth="1"/>
    <col min="5" max="5" width="6.5703125" bestFit="1" customWidth="1"/>
    <col min="6" max="6" width="14.42578125" customWidth="1"/>
    <col min="7" max="7" width="16.28515625" customWidth="1"/>
    <col min="8" max="8" width="14" bestFit="1" customWidth="1"/>
    <col min="9" max="9" width="18.7109375" bestFit="1" customWidth="1"/>
    <col min="10" max="10" width="17.85546875" customWidth="1"/>
    <col min="11" max="11" width="18.7109375" bestFit="1" customWidth="1"/>
    <col min="12" max="12" width="17.28515625" bestFit="1" customWidth="1"/>
    <col min="13" max="13" width="18.5703125" customWidth="1"/>
    <col min="14" max="14" width="16.85546875" bestFit="1" customWidth="1"/>
    <col min="15" max="15" width="22.85546875" bestFit="1" customWidth="1"/>
    <col min="16" max="16" width="7.5703125" bestFit="1" customWidth="1"/>
    <col min="17" max="18" width="16.140625" bestFit="1" customWidth="1"/>
  </cols>
  <sheetData>
    <row r="1" spans="1:17" ht="31.9" customHeight="1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"/>
    </row>
    <row r="2" spans="1:17" ht="27" customHeight="1">
      <c r="A2" s="28" t="s">
        <v>1</v>
      </c>
      <c r="B2" s="30" t="s">
        <v>2</v>
      </c>
      <c r="C2" s="31" t="s">
        <v>3</v>
      </c>
      <c r="D2" s="32"/>
      <c r="E2" s="30" t="s">
        <v>4</v>
      </c>
      <c r="F2" s="30" t="s">
        <v>5</v>
      </c>
      <c r="G2" s="30" t="s">
        <v>6</v>
      </c>
      <c r="H2" s="30" t="s">
        <v>7</v>
      </c>
      <c r="I2" s="28" t="s">
        <v>8</v>
      </c>
      <c r="J2" s="28" t="s">
        <v>9</v>
      </c>
      <c r="K2" s="30" t="s">
        <v>10</v>
      </c>
      <c r="L2" s="28" t="s">
        <v>11</v>
      </c>
      <c r="M2" s="36" t="s">
        <v>12</v>
      </c>
      <c r="N2" s="37"/>
      <c r="O2" s="38" t="s">
        <v>13</v>
      </c>
      <c r="P2" s="2"/>
    </row>
    <row r="3" spans="1:17" ht="40.5">
      <c r="A3" s="29"/>
      <c r="B3" s="29"/>
      <c r="C3" s="33"/>
      <c r="D3" s="34"/>
      <c r="E3" s="29"/>
      <c r="F3" s="35"/>
      <c r="G3" s="35"/>
      <c r="H3" s="35"/>
      <c r="I3" s="29"/>
      <c r="J3" s="29"/>
      <c r="K3" s="29"/>
      <c r="L3" s="29"/>
      <c r="M3" s="3" t="s">
        <v>14</v>
      </c>
      <c r="N3" s="3" t="s">
        <v>15</v>
      </c>
      <c r="O3" s="39"/>
      <c r="P3" s="2"/>
    </row>
    <row r="4" spans="1:17" ht="20.25" customHeight="1">
      <c r="A4" s="4">
        <v>1</v>
      </c>
      <c r="B4" s="40" t="s">
        <v>16</v>
      </c>
      <c r="C4" s="53" t="s">
        <v>17</v>
      </c>
      <c r="D4" s="54"/>
      <c r="E4" s="5" t="s">
        <v>18</v>
      </c>
      <c r="F4" s="6">
        <v>37697</v>
      </c>
      <c r="G4" s="6">
        <v>52263</v>
      </c>
      <c r="H4" s="7">
        <v>7.4999999999999997E-3</v>
      </c>
      <c r="I4" s="8">
        <f>80000000*M57</f>
        <v>115200000</v>
      </c>
      <c r="J4" s="8">
        <f>475750*M57</f>
        <v>685080</v>
      </c>
      <c r="K4" s="8">
        <f>I4-J4</f>
        <v>114514920</v>
      </c>
      <c r="L4" s="8">
        <f>I4-(K4+J4)</f>
        <v>0</v>
      </c>
      <c r="M4" s="8">
        <f>144068.13*M57</f>
        <v>207458.1072</v>
      </c>
      <c r="N4" s="8">
        <f>5398946.8*M57</f>
        <v>7774483.3919999991</v>
      </c>
      <c r="O4" s="8">
        <f>76088698.6*M57</f>
        <v>109567725.98399998</v>
      </c>
      <c r="P4" s="2"/>
    </row>
    <row r="5" spans="1:17" ht="20.25" customHeight="1">
      <c r="A5" s="4">
        <v>2</v>
      </c>
      <c r="B5" s="40"/>
      <c r="C5" s="53" t="s">
        <v>19</v>
      </c>
      <c r="D5" s="54"/>
      <c r="E5" s="5" t="s">
        <v>18</v>
      </c>
      <c r="F5" s="6">
        <v>37789</v>
      </c>
      <c r="G5" s="6">
        <v>52397</v>
      </c>
      <c r="H5" s="7">
        <v>7.4999999999999997E-3</v>
      </c>
      <c r="I5" s="8">
        <f>14800000*M57</f>
        <v>21312000</v>
      </c>
      <c r="J5" s="8">
        <f>61006.72*M57</f>
        <v>87849.676800000001</v>
      </c>
      <c r="K5" s="8">
        <f>I5-J5</f>
        <v>21224150.323199999</v>
      </c>
      <c r="L5" s="8">
        <f t="shared" ref="L5:L12" si="0">I5-(K5+J5)</f>
        <v>0</v>
      </c>
      <c r="M5" s="8">
        <f>73313.05*M57</f>
        <v>105570.792</v>
      </c>
      <c r="N5" s="8">
        <f>840533.24*M57</f>
        <v>1210367.8655999999</v>
      </c>
      <c r="O5" s="8">
        <f>6567579.8*M57</f>
        <v>9457314.9119999986</v>
      </c>
      <c r="P5" s="2"/>
    </row>
    <row r="6" spans="1:17" ht="24.75" customHeight="1">
      <c r="A6" s="4">
        <v>3</v>
      </c>
      <c r="B6" s="40"/>
      <c r="C6" s="53" t="s">
        <v>20</v>
      </c>
      <c r="D6" s="54"/>
      <c r="E6" s="5" t="s">
        <v>18</v>
      </c>
      <c r="F6" s="6">
        <v>37933</v>
      </c>
      <c r="G6" s="6">
        <v>52397</v>
      </c>
      <c r="H6" s="7">
        <v>7.4999999999999997E-3</v>
      </c>
      <c r="I6" s="8">
        <f>15700000*M57</f>
        <v>22608000</v>
      </c>
      <c r="J6" s="8">
        <f>148951.82*M57</f>
        <v>214490.6208</v>
      </c>
      <c r="K6" s="8">
        <f t="shared" ref="K6:K40" si="1">I6-J6</f>
        <v>22393509.3792</v>
      </c>
      <c r="L6" s="8">
        <f t="shared" si="0"/>
        <v>0</v>
      </c>
      <c r="M6" s="8">
        <f>824382.43*M57</f>
        <v>1187110.6991999999</v>
      </c>
      <c r="N6" s="8">
        <f>1357997.82*M57</f>
        <v>1955516.8607999999</v>
      </c>
      <c r="O6" s="8">
        <f>13218391*M57</f>
        <v>19034483.039999999</v>
      </c>
      <c r="P6" s="2"/>
    </row>
    <row r="7" spans="1:17" ht="24.75" customHeight="1">
      <c r="A7" s="4">
        <v>4</v>
      </c>
      <c r="B7" s="40"/>
      <c r="C7" s="53" t="s">
        <v>21</v>
      </c>
      <c r="D7" s="54"/>
      <c r="E7" s="5" t="s">
        <v>18</v>
      </c>
      <c r="F7" s="6">
        <v>38006</v>
      </c>
      <c r="G7" s="6">
        <v>52580</v>
      </c>
      <c r="H7" s="7">
        <v>7.4999999999999997E-3</v>
      </c>
      <c r="I7" s="8">
        <f>21600000*M57</f>
        <v>31104000</v>
      </c>
      <c r="J7" s="8">
        <f>10541.33*M57</f>
        <v>15179.5152</v>
      </c>
      <c r="K7" s="8">
        <f t="shared" si="1"/>
        <v>31088820.4848</v>
      </c>
      <c r="L7" s="8">
        <f t="shared" si="0"/>
        <v>0</v>
      </c>
      <c r="M7" s="8">
        <f>1398759.75*M57</f>
        <v>2014214.04</v>
      </c>
      <c r="N7" s="8">
        <f>1901162.07*M57</f>
        <v>2737673.3807999999</v>
      </c>
      <c r="O7" s="8">
        <f>18566934.4*M57</f>
        <v>26736385.535999998</v>
      </c>
      <c r="P7" s="2"/>
    </row>
    <row r="8" spans="1:17" ht="24.75" customHeight="1">
      <c r="A8" s="4">
        <v>5</v>
      </c>
      <c r="B8" s="40"/>
      <c r="C8" s="53" t="s">
        <v>22</v>
      </c>
      <c r="D8" s="54"/>
      <c r="E8" s="5" t="s">
        <v>18</v>
      </c>
      <c r="F8" s="6">
        <v>38006</v>
      </c>
      <c r="G8" s="6">
        <v>52580</v>
      </c>
      <c r="H8" s="7">
        <v>7.4999999999999997E-3</v>
      </c>
      <c r="I8" s="8">
        <f>27900000*M57</f>
        <v>40176000</v>
      </c>
      <c r="J8" s="8">
        <f>2653753*M57</f>
        <v>3821404.32</v>
      </c>
      <c r="K8" s="8">
        <f t="shared" si="1"/>
        <v>36354595.68</v>
      </c>
      <c r="L8" s="8">
        <f t="shared" si="0"/>
        <v>0</v>
      </c>
      <c r="M8" s="8">
        <f>2334818.26*M57</f>
        <v>3362138.2943999995</v>
      </c>
      <c r="N8" s="8">
        <f>2303328.55*M57</f>
        <v>3316793.1119999997</v>
      </c>
      <c r="O8" s="8">
        <f>21711772.2*M57</f>
        <v>31264951.967999998</v>
      </c>
      <c r="P8" s="2"/>
    </row>
    <row r="9" spans="1:17" ht="24.75" customHeight="1">
      <c r="A9" s="4">
        <v>6</v>
      </c>
      <c r="B9" s="40"/>
      <c r="C9" s="53" t="s">
        <v>23</v>
      </c>
      <c r="D9" s="54"/>
      <c r="E9" s="5" t="s">
        <v>18</v>
      </c>
      <c r="F9" s="6">
        <v>38181</v>
      </c>
      <c r="G9" s="6">
        <v>52763</v>
      </c>
      <c r="H9" s="7">
        <v>7.4999999999999997E-3</v>
      </c>
      <c r="I9" s="8">
        <f>72400000*M57</f>
        <v>104256000</v>
      </c>
      <c r="J9" s="8">
        <f>357950*M57</f>
        <v>515448</v>
      </c>
      <c r="K9" s="8">
        <f t="shared" si="1"/>
        <v>103740552</v>
      </c>
      <c r="L9" s="8">
        <f t="shared" si="0"/>
        <v>0</v>
      </c>
      <c r="M9" s="8">
        <f>9195276.031*M57</f>
        <v>13241197.484639999</v>
      </c>
      <c r="N9" s="8">
        <f>6068235.93*M57</f>
        <v>8738259.7391999997</v>
      </c>
      <c r="O9" s="8">
        <f>62676589.4*M57</f>
        <v>90254288.736000001</v>
      </c>
      <c r="P9" s="2"/>
    </row>
    <row r="10" spans="1:17" ht="24.75" customHeight="1">
      <c r="A10" s="4">
        <v>7</v>
      </c>
      <c r="B10" s="40"/>
      <c r="C10" s="53" t="s">
        <v>24</v>
      </c>
      <c r="D10" s="54"/>
      <c r="E10" s="5" t="s">
        <v>18</v>
      </c>
      <c r="F10" s="6">
        <v>38203</v>
      </c>
      <c r="G10" s="6">
        <v>52763</v>
      </c>
      <c r="H10" s="7">
        <v>7.4999999999999997E-3</v>
      </c>
      <c r="I10" s="8">
        <f>54700000*M57</f>
        <v>78768000</v>
      </c>
      <c r="J10" s="8">
        <v>0</v>
      </c>
      <c r="K10" s="8">
        <f t="shared" si="1"/>
        <v>78768000</v>
      </c>
      <c r="L10" s="8">
        <f t="shared" si="0"/>
        <v>0</v>
      </c>
      <c r="M10" s="8">
        <v>0</v>
      </c>
      <c r="N10" s="8">
        <f>4119305.76*M57</f>
        <v>5931800.2943999991</v>
      </c>
      <c r="O10" s="8">
        <f>47589000*M57</f>
        <v>68528160</v>
      </c>
      <c r="P10" s="2"/>
    </row>
    <row r="11" spans="1:17" ht="27.75" customHeight="1">
      <c r="A11" s="4">
        <v>8</v>
      </c>
      <c r="B11" s="40"/>
      <c r="C11" s="53" t="s">
        <v>25</v>
      </c>
      <c r="D11" s="54"/>
      <c r="E11" s="5" t="s">
        <v>18</v>
      </c>
      <c r="F11" s="6">
        <v>38203</v>
      </c>
      <c r="G11" s="6">
        <v>52763</v>
      </c>
      <c r="H11" s="7">
        <v>7.4999999999999997E-3</v>
      </c>
      <c r="I11" s="8">
        <f>17100000*M57</f>
        <v>24624000</v>
      </c>
      <c r="J11" s="8">
        <f>2057000*M57</f>
        <v>2962080</v>
      </c>
      <c r="K11" s="8">
        <f t="shared" si="1"/>
        <v>21661920</v>
      </c>
      <c r="L11" s="8">
        <f t="shared" si="0"/>
        <v>0</v>
      </c>
      <c r="M11" s="8">
        <f>1856123.41*M57</f>
        <v>2672817.7103999997</v>
      </c>
      <c r="N11" s="8">
        <f>1234472.98*M57</f>
        <v>1777641.0911999999</v>
      </c>
      <c r="O11" s="8">
        <f>13087409.6*M57</f>
        <v>18845869.823999997</v>
      </c>
      <c r="P11" s="2"/>
    </row>
    <row r="12" spans="1:17" ht="15" customHeight="1">
      <c r="A12" s="4">
        <v>9</v>
      </c>
      <c r="B12" s="40"/>
      <c r="C12" s="53" t="s">
        <v>26</v>
      </c>
      <c r="D12" s="54"/>
      <c r="E12" s="5" t="s">
        <v>18</v>
      </c>
      <c r="F12" s="6">
        <v>38203</v>
      </c>
      <c r="G12" s="6">
        <v>52763</v>
      </c>
      <c r="H12" s="7">
        <v>7.4999999999999997E-3</v>
      </c>
      <c r="I12" s="8">
        <f>3500000*M57</f>
        <v>5040000</v>
      </c>
      <c r="J12" s="8">
        <f>218116.14*M57</f>
        <v>314087.24160000001</v>
      </c>
      <c r="K12" s="8">
        <f t="shared" si="1"/>
        <v>4725912.7583999997</v>
      </c>
      <c r="L12" s="8">
        <f t="shared" si="0"/>
        <v>0</v>
      </c>
      <c r="M12" s="8">
        <f>311599.57*M57</f>
        <v>448703.38079999998</v>
      </c>
      <c r="N12" s="8">
        <f>240727.98*M57</f>
        <v>346648.29119999998</v>
      </c>
      <c r="O12" s="8">
        <f>2855238.9*M57</f>
        <v>4111544.0159999998</v>
      </c>
    </row>
    <row r="13" spans="1:17" ht="18" customHeight="1">
      <c r="A13" s="42" t="s">
        <v>27</v>
      </c>
      <c r="B13" s="43"/>
      <c r="C13" s="43"/>
      <c r="D13" s="43"/>
      <c r="E13" s="44"/>
      <c r="F13" s="9"/>
      <c r="G13" s="9"/>
      <c r="H13" s="9"/>
      <c r="I13" s="10">
        <f>SUM(I4:I12)</f>
        <v>443088000</v>
      </c>
      <c r="J13" s="10">
        <f>SUM(J4:J12)</f>
        <v>8615619.3743999992</v>
      </c>
      <c r="K13" s="10">
        <f>SUM(K4:K12)</f>
        <v>434472380.62560004</v>
      </c>
      <c r="L13" s="10">
        <f>SUM(L4:L12)</f>
        <v>0</v>
      </c>
      <c r="M13" s="10">
        <f>SUM(M4:M12)</f>
        <v>23239210.508639999</v>
      </c>
      <c r="N13" s="10">
        <f>SUM(N4:N12)</f>
        <v>33789184.027199998</v>
      </c>
      <c r="O13" s="10">
        <f>SUM(O4:O12)</f>
        <v>377800724.01599997</v>
      </c>
    </row>
    <row r="14" spans="1:17" ht="15">
      <c r="A14" s="4">
        <v>1</v>
      </c>
      <c r="B14" s="48" t="s">
        <v>28</v>
      </c>
      <c r="C14" s="41" t="s">
        <v>29</v>
      </c>
      <c r="D14" s="41"/>
      <c r="E14" s="5" t="s">
        <v>18</v>
      </c>
      <c r="F14" s="11">
        <v>38403</v>
      </c>
      <c r="G14" s="11">
        <v>48579</v>
      </c>
      <c r="H14" s="12" t="s">
        <v>30</v>
      </c>
      <c r="I14" s="8">
        <f>13800000*M57</f>
        <v>19872000</v>
      </c>
      <c r="J14" s="8">
        <f>472325.83*M57</f>
        <v>680149.19519999996</v>
      </c>
      <c r="K14" s="8">
        <f t="shared" si="1"/>
        <v>19191850.8048</v>
      </c>
      <c r="L14" s="8">
        <v>0</v>
      </c>
      <c r="M14" s="8">
        <f>4072344.2*M57</f>
        <v>5864175.648</v>
      </c>
      <c r="N14" s="8">
        <f>1859792.16*M57</f>
        <v>2678100.7103999997</v>
      </c>
      <c r="O14" s="8">
        <f>9255329.97*M57</f>
        <v>13327675.1568</v>
      </c>
      <c r="Q14" s="13"/>
    </row>
    <row r="15" spans="1:17" ht="15">
      <c r="A15" s="4">
        <v>2</v>
      </c>
      <c r="B15" s="40"/>
      <c r="C15" s="41" t="s">
        <v>31</v>
      </c>
      <c r="D15" s="41"/>
      <c r="E15" s="5" t="s">
        <v>18</v>
      </c>
      <c r="F15" s="11">
        <v>38455</v>
      </c>
      <c r="G15" s="11">
        <v>47483</v>
      </c>
      <c r="H15" s="12" t="s">
        <v>30</v>
      </c>
      <c r="I15" s="8">
        <f>13000000*M57</f>
        <v>18720000</v>
      </c>
      <c r="J15" s="8">
        <f>219845*M57</f>
        <v>316576.8</v>
      </c>
      <c r="K15" s="8">
        <f t="shared" si="1"/>
        <v>18403423.199999999</v>
      </c>
      <c r="L15" s="8">
        <v>0</v>
      </c>
      <c r="M15" s="8">
        <f>6600809.89*M57</f>
        <v>9505166.2415999994</v>
      </c>
      <c r="N15" s="8">
        <f>1170119.36*M57</f>
        <v>1684971.8784</v>
      </c>
      <c r="O15" s="8">
        <f>6179345.11*M57</f>
        <v>8898256.9583999999</v>
      </c>
      <c r="Q15" s="13"/>
    </row>
    <row r="16" spans="1:17" ht="15">
      <c r="A16" s="4">
        <v>3</v>
      </c>
      <c r="B16" s="40"/>
      <c r="C16" s="41" t="s">
        <v>32</v>
      </c>
      <c r="D16" s="41"/>
      <c r="E16" s="5" t="s">
        <v>18</v>
      </c>
      <c r="F16" s="11">
        <v>39600</v>
      </c>
      <c r="G16" s="11">
        <v>50040</v>
      </c>
      <c r="H16" s="12" t="s">
        <v>30</v>
      </c>
      <c r="I16" s="8">
        <f>11000000*M57</f>
        <v>15840000</v>
      </c>
      <c r="J16" s="8">
        <f>583480.69*M57</f>
        <v>840212.19359999988</v>
      </c>
      <c r="K16" s="8">
        <f t="shared" si="1"/>
        <v>14999787.806400001</v>
      </c>
      <c r="L16" s="8">
        <v>0</v>
      </c>
      <c r="M16" s="8">
        <f>1808071.16*M57</f>
        <v>2603622.4704</v>
      </c>
      <c r="N16" s="8">
        <f>979729.34*M57</f>
        <v>1410810.2496</v>
      </c>
      <c r="O16" s="8">
        <f>8608448.15*M57</f>
        <v>12396165.335999999</v>
      </c>
      <c r="Q16" s="13"/>
    </row>
    <row r="17" spans="1:17" ht="15">
      <c r="A17" s="4">
        <v>4</v>
      </c>
      <c r="B17" s="40"/>
      <c r="C17" s="41" t="s">
        <v>33</v>
      </c>
      <c r="D17" s="41"/>
      <c r="E17" s="5" t="s">
        <v>18</v>
      </c>
      <c r="F17" s="11">
        <v>39600</v>
      </c>
      <c r="G17" s="11">
        <v>50405</v>
      </c>
      <c r="H17" s="12" t="s">
        <v>30</v>
      </c>
      <c r="I17" s="8">
        <f>6614000*M57</f>
        <v>9524160</v>
      </c>
      <c r="J17" s="8">
        <f>1882325.11*M57</f>
        <v>2710548.1584000001</v>
      </c>
      <c r="K17" s="8">
        <f t="shared" si="1"/>
        <v>6813611.8415999999</v>
      </c>
      <c r="L17" s="8">
        <v>0</v>
      </c>
      <c r="M17" s="8">
        <f>942752.48*M57</f>
        <v>1357563.5711999999</v>
      </c>
      <c r="N17" s="8">
        <f>266897.12*M57</f>
        <v>384331.85279999999</v>
      </c>
      <c r="O17" s="8">
        <f>3788922.41*M57</f>
        <v>5456048.2703999998</v>
      </c>
      <c r="Q17" s="13"/>
    </row>
    <row r="18" spans="1:17" ht="16.899999999999999" customHeight="1">
      <c r="A18" s="4">
        <v>5</v>
      </c>
      <c r="B18" s="40"/>
      <c r="C18" s="45" t="s">
        <v>34</v>
      </c>
      <c r="D18" s="46"/>
      <c r="E18" s="5" t="s">
        <v>18</v>
      </c>
      <c r="F18" s="11">
        <v>42943</v>
      </c>
      <c r="G18" s="11">
        <v>51866</v>
      </c>
      <c r="H18" s="12" t="s">
        <v>30</v>
      </c>
      <c r="I18" s="8">
        <f>3320000*M57</f>
        <v>4780800</v>
      </c>
      <c r="J18" s="8">
        <v>0</v>
      </c>
      <c r="K18" s="8">
        <v>61805.98</v>
      </c>
      <c r="L18" s="8">
        <f>I18-(K18+J18)</f>
        <v>4718994.0199999996</v>
      </c>
      <c r="M18" s="8">
        <v>0</v>
      </c>
      <c r="N18" s="8">
        <f>34835.08*M57</f>
        <v>50162.515200000002</v>
      </c>
      <c r="O18" s="8">
        <f>61805.98*M57</f>
        <v>89000.611199999999</v>
      </c>
    </row>
    <row r="19" spans="1:17" ht="15">
      <c r="A19" s="4">
        <v>6</v>
      </c>
      <c r="B19" s="40"/>
      <c r="C19" s="47" t="s">
        <v>35</v>
      </c>
      <c r="D19" s="47"/>
      <c r="E19" s="5" t="s">
        <v>18</v>
      </c>
      <c r="F19" s="11">
        <v>42943</v>
      </c>
      <c r="G19" s="11">
        <v>52962</v>
      </c>
      <c r="H19" s="12" t="s">
        <v>30</v>
      </c>
      <c r="I19" s="8">
        <f>49910000*M57</f>
        <v>71870400</v>
      </c>
      <c r="J19" s="8">
        <v>0</v>
      </c>
      <c r="K19" s="8">
        <v>0</v>
      </c>
      <c r="L19" s="8">
        <f>I19-(K19+J19)</f>
        <v>71870400</v>
      </c>
      <c r="M19" s="8">
        <v>0</v>
      </c>
      <c r="N19" s="8">
        <v>0</v>
      </c>
      <c r="O19" s="8">
        <v>0</v>
      </c>
    </row>
    <row r="20" spans="1:17" ht="18" customHeight="1">
      <c r="A20" s="42" t="s">
        <v>27</v>
      </c>
      <c r="B20" s="43"/>
      <c r="C20" s="43"/>
      <c r="D20" s="43"/>
      <c r="E20" s="44"/>
      <c r="F20" s="9"/>
      <c r="G20" s="9"/>
      <c r="H20" s="9"/>
      <c r="I20" s="10">
        <f t="shared" ref="I20:O20" si="2">SUM(I14:I19)</f>
        <v>140607360</v>
      </c>
      <c r="J20" s="10">
        <f t="shared" si="2"/>
        <v>4547486.3471999997</v>
      </c>
      <c r="K20" s="10">
        <f t="shared" si="2"/>
        <v>59470479.632799998</v>
      </c>
      <c r="L20" s="10">
        <f>SUM(L14:L19)</f>
        <v>76589394.019999996</v>
      </c>
      <c r="M20" s="10">
        <f t="shared" si="2"/>
        <v>19330527.931199998</v>
      </c>
      <c r="N20" s="10">
        <f t="shared" si="2"/>
        <v>6208377.2063999996</v>
      </c>
      <c r="O20" s="10">
        <f t="shared" si="2"/>
        <v>40167146.332799993</v>
      </c>
    </row>
    <row r="21" spans="1:17" ht="15">
      <c r="A21" s="14">
        <v>1</v>
      </c>
      <c r="B21" s="40" t="s">
        <v>36</v>
      </c>
      <c r="C21" s="41" t="s">
        <v>37</v>
      </c>
      <c r="D21" s="41"/>
      <c r="E21" s="5" t="s">
        <v>18</v>
      </c>
      <c r="F21" s="11">
        <v>37843</v>
      </c>
      <c r="G21" s="11">
        <v>52383</v>
      </c>
      <c r="H21" s="15">
        <v>0</v>
      </c>
      <c r="I21" s="8">
        <f>195000000*M59</f>
        <v>52650000</v>
      </c>
      <c r="J21" s="8">
        <f>18213037.38*M59</f>
        <v>4917520.0926000001</v>
      </c>
      <c r="K21" s="8">
        <f>I21-J21</f>
        <v>47732479.907399997</v>
      </c>
      <c r="L21" s="8">
        <f>I21-(K21+J21)</f>
        <v>0</v>
      </c>
      <c r="M21" s="8">
        <f>42250000*M59</f>
        <v>11407500</v>
      </c>
      <c r="N21" s="8">
        <v>0</v>
      </c>
      <c r="O21" s="8">
        <f>134536962.62*M59</f>
        <v>36324979.907400005</v>
      </c>
    </row>
    <row r="22" spans="1:17" ht="15">
      <c r="A22" s="14">
        <v>2</v>
      </c>
      <c r="B22" s="40"/>
      <c r="C22" s="41" t="s">
        <v>38</v>
      </c>
      <c r="D22" s="41"/>
      <c r="E22" s="5" t="s">
        <v>18</v>
      </c>
      <c r="F22" s="11">
        <v>39611</v>
      </c>
      <c r="G22" s="11">
        <v>57497</v>
      </c>
      <c r="H22" s="15">
        <v>0</v>
      </c>
      <c r="I22" s="8">
        <f>187500000*M59</f>
        <v>50625000</v>
      </c>
      <c r="J22" s="8">
        <v>0</v>
      </c>
      <c r="K22" s="8">
        <f>187500000*M59</f>
        <v>50625000</v>
      </c>
      <c r="L22" s="8">
        <f t="shared" ref="L22" si="3">I22-(K22+J22)</f>
        <v>0</v>
      </c>
      <c r="M22" s="8">
        <f>9375000*M59</f>
        <v>2531250</v>
      </c>
      <c r="N22" s="8">
        <v>0</v>
      </c>
      <c r="O22" s="8">
        <f>178125000*M59</f>
        <v>48093750</v>
      </c>
    </row>
    <row r="23" spans="1:17" ht="15">
      <c r="A23" s="14">
        <v>3</v>
      </c>
      <c r="B23" s="40"/>
      <c r="C23" s="41" t="s">
        <v>39</v>
      </c>
      <c r="D23" s="41"/>
      <c r="E23" s="5" t="s">
        <v>18</v>
      </c>
      <c r="F23" s="11">
        <v>39612</v>
      </c>
      <c r="G23" s="11">
        <v>57498</v>
      </c>
      <c r="H23" s="15">
        <v>0</v>
      </c>
      <c r="I23" s="8">
        <f>60000000*M59</f>
        <v>16200000.000000002</v>
      </c>
      <c r="J23" s="8">
        <v>0</v>
      </c>
      <c r="K23" s="8">
        <f>30705767.55*M59</f>
        <v>8290557.2385000009</v>
      </c>
      <c r="L23" s="8">
        <f>I23-(K23+J23)</f>
        <v>7909442.761500001</v>
      </c>
      <c r="M23" s="8">
        <v>0</v>
      </c>
      <c r="N23" s="8">
        <v>0</v>
      </c>
      <c r="O23" s="8">
        <f>30705767.55*M59</f>
        <v>8290557.2385000009</v>
      </c>
    </row>
    <row r="24" spans="1:17" ht="15">
      <c r="A24" s="14">
        <v>4</v>
      </c>
      <c r="B24" s="40"/>
      <c r="C24" s="41" t="s">
        <v>40</v>
      </c>
      <c r="D24" s="41"/>
      <c r="E24" s="5" t="s">
        <v>18</v>
      </c>
      <c r="F24" s="11">
        <v>43702</v>
      </c>
      <c r="G24" s="11">
        <v>58227</v>
      </c>
      <c r="H24" s="15">
        <v>0</v>
      </c>
      <c r="I24" s="8">
        <f>180000000*M59</f>
        <v>48600000</v>
      </c>
      <c r="J24" s="8">
        <v>0</v>
      </c>
      <c r="K24" s="8">
        <v>0</v>
      </c>
      <c r="L24" s="8">
        <f>I24-(K24+J24)</f>
        <v>48600000</v>
      </c>
      <c r="M24" s="8">
        <v>0</v>
      </c>
      <c r="N24" s="8">
        <v>0</v>
      </c>
      <c r="O24" s="8">
        <v>0</v>
      </c>
    </row>
    <row r="25" spans="1:17" ht="15">
      <c r="A25" s="14">
        <v>5</v>
      </c>
      <c r="B25" s="40"/>
      <c r="C25" s="41" t="s">
        <v>41</v>
      </c>
      <c r="D25" s="41"/>
      <c r="E25" s="5" t="s">
        <v>18</v>
      </c>
      <c r="F25" s="11">
        <v>43702</v>
      </c>
      <c r="G25" s="11">
        <v>58227</v>
      </c>
      <c r="H25" s="15">
        <v>0</v>
      </c>
      <c r="I25" s="8">
        <f>187500000*M59</f>
        <v>50625000</v>
      </c>
      <c r="J25" s="8">
        <v>0</v>
      </c>
      <c r="K25" s="8">
        <v>0</v>
      </c>
      <c r="L25" s="8">
        <f>I25-(K25+J25)</f>
        <v>50625000</v>
      </c>
      <c r="M25" s="8">
        <v>0</v>
      </c>
      <c r="N25" s="8">
        <v>0</v>
      </c>
      <c r="O25" s="8">
        <v>0</v>
      </c>
    </row>
    <row r="26" spans="1:17" ht="18" customHeight="1">
      <c r="A26" s="42" t="s">
        <v>27</v>
      </c>
      <c r="B26" s="43"/>
      <c r="C26" s="43"/>
      <c r="D26" s="43"/>
      <c r="E26" s="44"/>
      <c r="F26" s="9"/>
      <c r="G26" s="9"/>
      <c r="H26" s="9"/>
      <c r="I26" s="10">
        <f t="shared" ref="I26:O26" si="4">SUM(I21:I25)</f>
        <v>218700000</v>
      </c>
      <c r="J26" s="10">
        <f t="shared" si="4"/>
        <v>4917520.0926000001</v>
      </c>
      <c r="K26" s="10">
        <f t="shared" si="4"/>
        <v>106648037.1459</v>
      </c>
      <c r="L26" s="10">
        <f>SUM(L21:L25)</f>
        <v>107134442.7615</v>
      </c>
      <c r="M26" s="10">
        <f t="shared" si="4"/>
        <v>13938750</v>
      </c>
      <c r="N26" s="10">
        <f t="shared" si="4"/>
        <v>0</v>
      </c>
      <c r="O26" s="10">
        <f t="shared" si="4"/>
        <v>92709287.145900011</v>
      </c>
    </row>
    <row r="27" spans="1:17" ht="15">
      <c r="A27" s="14">
        <v>1</v>
      </c>
      <c r="B27" s="49" t="s">
        <v>42</v>
      </c>
      <c r="C27" s="51" t="s">
        <v>43</v>
      </c>
      <c r="D27" s="51" t="s">
        <v>44</v>
      </c>
      <c r="E27" s="5" t="s">
        <v>18</v>
      </c>
      <c r="F27" s="16">
        <v>37594</v>
      </c>
      <c r="G27" s="16">
        <v>51898</v>
      </c>
      <c r="H27" s="17">
        <v>1.4999999999999999E-2</v>
      </c>
      <c r="I27" s="8">
        <f>125219418.84*M57</f>
        <v>180315963.12959999</v>
      </c>
      <c r="J27" s="8">
        <v>1510295</v>
      </c>
      <c r="K27" s="8">
        <f>I27-J27</f>
        <v>178805668.12959999</v>
      </c>
      <c r="L27" s="8">
        <f>I27-(K27+J27)</f>
        <v>0</v>
      </c>
      <c r="M27" s="8">
        <f>4943597.31*M57</f>
        <v>7118780.1263999995</v>
      </c>
      <c r="N27" s="8">
        <f>12490886.381*M57</f>
        <v>17986876.388639998</v>
      </c>
      <c r="O27" s="8">
        <f>99216103.8*M57</f>
        <v>142871189.472</v>
      </c>
      <c r="Q27" s="13"/>
    </row>
    <row r="28" spans="1:17" ht="15">
      <c r="A28" s="14">
        <v>2</v>
      </c>
      <c r="B28" s="50"/>
      <c r="C28" s="51" t="s">
        <v>45</v>
      </c>
      <c r="D28" s="51" t="s">
        <v>46</v>
      </c>
      <c r="E28" s="5" t="s">
        <v>18</v>
      </c>
      <c r="F28" s="16">
        <v>37834</v>
      </c>
      <c r="G28" s="16">
        <v>52263</v>
      </c>
      <c r="H28" s="17">
        <v>1.4999999999999999E-2</v>
      </c>
      <c r="I28" s="8">
        <f>110018000*M57</f>
        <v>158425920</v>
      </c>
      <c r="J28" s="8">
        <v>15342777.33</v>
      </c>
      <c r="K28" s="8">
        <f t="shared" ref="K28:K37" si="5">I28-J28</f>
        <v>143083142.66999999</v>
      </c>
      <c r="L28" s="8">
        <f t="shared" ref="L28:L37" si="6">I28-(K28+J28)</f>
        <v>0</v>
      </c>
      <c r="M28" s="8">
        <f>11397358.408*M57</f>
        <v>16412196.107519999</v>
      </c>
      <c r="N28" s="8">
        <f>10722845.07*M57</f>
        <v>15440896.900799999</v>
      </c>
      <c r="O28" s="8">
        <f>80030082.3*M57</f>
        <v>115243318.51199999</v>
      </c>
      <c r="Q28" s="13"/>
    </row>
    <row r="29" spans="1:17" ht="15">
      <c r="A29" s="14">
        <v>3</v>
      </c>
      <c r="B29" s="50"/>
      <c r="C29" s="51" t="s">
        <v>47</v>
      </c>
      <c r="D29" s="51" t="s">
        <v>48</v>
      </c>
      <c r="E29" s="5" t="s">
        <v>18</v>
      </c>
      <c r="F29" s="16">
        <v>38112</v>
      </c>
      <c r="G29" s="16">
        <v>52688</v>
      </c>
      <c r="H29" s="17">
        <v>1.4999999999999999E-2</v>
      </c>
      <c r="I29" s="8">
        <f>37581000*M57</f>
        <v>54116640</v>
      </c>
      <c r="J29" s="8">
        <v>594237</v>
      </c>
      <c r="K29" s="8">
        <f t="shared" si="5"/>
        <v>53522403</v>
      </c>
      <c r="L29" s="8">
        <f t="shared" si="6"/>
        <v>0</v>
      </c>
      <c r="M29" s="8">
        <f>2672195.325*M57</f>
        <v>3847961.2680000002</v>
      </c>
      <c r="N29" s="8">
        <f>4170982.915*M57</f>
        <v>6006215.3975999998</v>
      </c>
      <c r="O29" s="8">
        <f>32309103.6*M57</f>
        <v>46525109.184</v>
      </c>
      <c r="Q29" s="13"/>
    </row>
    <row r="30" spans="1:17" ht="15">
      <c r="A30" s="14">
        <v>4</v>
      </c>
      <c r="B30" s="50"/>
      <c r="C30" s="52" t="s">
        <v>26</v>
      </c>
      <c r="D30" s="52"/>
      <c r="E30" s="5" t="s">
        <v>18</v>
      </c>
      <c r="F30" s="16">
        <v>38292</v>
      </c>
      <c r="G30" s="16">
        <v>52763</v>
      </c>
      <c r="H30" s="17">
        <v>1.4999999999999999E-2</v>
      </c>
      <c r="I30" s="8">
        <f>3430000*M57</f>
        <v>4939200</v>
      </c>
      <c r="J30" s="8">
        <v>1802002.37</v>
      </c>
      <c r="K30" s="8">
        <f>I30-J30</f>
        <v>3137197.63</v>
      </c>
      <c r="L30" s="8">
        <f t="shared" si="6"/>
        <v>0</v>
      </c>
      <c r="M30" s="8">
        <f>212356.036*M57</f>
        <v>305792.69183999998</v>
      </c>
      <c r="N30" s="8">
        <f>184431.187*M57</f>
        <v>265580.90928000002</v>
      </c>
      <c r="O30" s="8">
        <f>1433602.6*M57</f>
        <v>2064387.7439999999</v>
      </c>
      <c r="Q30" s="13"/>
    </row>
    <row r="31" spans="1:17" ht="15">
      <c r="A31" s="14">
        <v>5</v>
      </c>
      <c r="B31" s="50"/>
      <c r="C31" s="51" t="s">
        <v>49</v>
      </c>
      <c r="D31" s="51" t="s">
        <v>50</v>
      </c>
      <c r="E31" s="5" t="s">
        <v>18</v>
      </c>
      <c r="F31" s="16">
        <v>38449</v>
      </c>
      <c r="G31" s="16">
        <v>52810</v>
      </c>
      <c r="H31" s="17">
        <v>1.4999999999999999E-2</v>
      </c>
      <c r="I31" s="8">
        <f>20370000*M57</f>
        <v>29332800</v>
      </c>
      <c r="J31" s="8">
        <v>2880622</v>
      </c>
      <c r="K31" s="8">
        <f t="shared" si="5"/>
        <v>26452178</v>
      </c>
      <c r="L31" s="8">
        <f t="shared" si="6"/>
        <v>0</v>
      </c>
      <c r="M31" s="8">
        <f>2099337.47*M57</f>
        <v>3023045.9568000003</v>
      </c>
      <c r="N31" s="8">
        <f>1643937.29*M57</f>
        <v>2367269.6976000001</v>
      </c>
      <c r="O31" s="8">
        <f>15128209*M57</f>
        <v>21784620.960000001</v>
      </c>
      <c r="Q31" s="13"/>
    </row>
    <row r="32" spans="1:17" ht="15">
      <c r="A32" s="14">
        <v>6</v>
      </c>
      <c r="B32" s="50"/>
      <c r="C32" s="51" t="s">
        <v>51</v>
      </c>
      <c r="D32" s="51"/>
      <c r="E32" s="5" t="s">
        <v>18</v>
      </c>
      <c r="F32" s="16">
        <v>38449</v>
      </c>
      <c r="G32" s="16">
        <v>52946</v>
      </c>
      <c r="H32" s="17">
        <v>1.4999999999999999E-2</v>
      </c>
      <c r="I32" s="8">
        <f>53087000*M57</f>
        <v>76445280</v>
      </c>
      <c r="J32" s="8">
        <v>9742374.8599999994</v>
      </c>
      <c r="K32" s="8">
        <f t="shared" si="5"/>
        <v>66702905.140000001</v>
      </c>
      <c r="L32" s="8">
        <f t="shared" si="6"/>
        <v>0</v>
      </c>
      <c r="M32" s="8">
        <f>5200800.68*M57</f>
        <v>7489152.979199999</v>
      </c>
      <c r="N32" s="8">
        <f>5218743.009*M57</f>
        <v>7514989.932959999</v>
      </c>
      <c r="O32" s="8">
        <f>35037760.1*M57</f>
        <v>50454374.544</v>
      </c>
      <c r="Q32" s="13"/>
    </row>
    <row r="33" spans="1:17" ht="15">
      <c r="A33" s="14">
        <v>7</v>
      </c>
      <c r="B33" s="50"/>
      <c r="C33" s="51" t="s">
        <v>52</v>
      </c>
      <c r="D33" s="51"/>
      <c r="E33" s="5" t="s">
        <v>18</v>
      </c>
      <c r="F33" s="16">
        <v>38566</v>
      </c>
      <c r="G33" s="16">
        <v>53175</v>
      </c>
      <c r="H33" s="17">
        <v>1.4999999999999999E-2</v>
      </c>
      <c r="I33" s="8">
        <f>17298000*M57</f>
        <v>24909120</v>
      </c>
      <c r="J33" s="8">
        <v>409638.09</v>
      </c>
      <c r="K33" s="8">
        <f t="shared" si="5"/>
        <v>24499481.91</v>
      </c>
      <c r="L33" s="8">
        <f t="shared" si="6"/>
        <v>0</v>
      </c>
      <c r="M33" s="8">
        <f>1869169.25*M57</f>
        <v>2691603.7199999997</v>
      </c>
      <c r="N33" s="8">
        <f>1278382.293*M57</f>
        <v>1840870.50192</v>
      </c>
      <c r="O33" s="8">
        <f>13686944.4*M57</f>
        <v>19709199.936000001</v>
      </c>
      <c r="Q33" s="13"/>
    </row>
    <row r="34" spans="1:17" ht="15">
      <c r="A34" s="14">
        <v>8</v>
      </c>
      <c r="B34" s="50"/>
      <c r="C34" s="51" t="s">
        <v>53</v>
      </c>
      <c r="D34" s="51"/>
      <c r="E34" s="5" t="s">
        <v>18</v>
      </c>
      <c r="F34" s="16">
        <v>38715</v>
      </c>
      <c r="G34" s="16">
        <v>53281</v>
      </c>
      <c r="H34" s="17">
        <v>1.4999999999999999E-2</v>
      </c>
      <c r="I34" s="8">
        <f>33676000*M57</f>
        <v>48493440</v>
      </c>
      <c r="J34" s="8">
        <v>546293.15</v>
      </c>
      <c r="K34" s="8">
        <f t="shared" si="5"/>
        <v>47947146.850000001</v>
      </c>
      <c r="L34" s="8">
        <f t="shared" si="6"/>
        <v>0</v>
      </c>
      <c r="M34" s="8">
        <f>3312970*M57</f>
        <v>4770676.8</v>
      </c>
      <c r="N34" s="8">
        <f>4095144.489*M57</f>
        <v>5897008.0641599996</v>
      </c>
      <c r="O34" s="8">
        <f>29910305.6*M57</f>
        <v>43070840.064000003</v>
      </c>
      <c r="Q34" s="13"/>
    </row>
    <row r="35" spans="1:17" ht="15">
      <c r="A35" s="14">
        <v>9</v>
      </c>
      <c r="B35" s="50"/>
      <c r="C35" s="51" t="s">
        <v>54</v>
      </c>
      <c r="D35" s="51"/>
      <c r="E35" s="5" t="s">
        <v>18</v>
      </c>
      <c r="F35" s="16">
        <v>38785</v>
      </c>
      <c r="G35" s="16">
        <v>53311</v>
      </c>
      <c r="H35" s="17">
        <v>1.4999999999999999E-2</v>
      </c>
      <c r="I35" s="8">
        <f>42446000*M57</f>
        <v>61122240</v>
      </c>
      <c r="J35" s="8">
        <v>11375604.33</v>
      </c>
      <c r="K35" s="8">
        <f t="shared" si="5"/>
        <v>49746635.670000002</v>
      </c>
      <c r="L35" s="18">
        <f t="shared" si="6"/>
        <v>0</v>
      </c>
      <c r="M35" s="8">
        <f>3202386*M57</f>
        <v>4611435.84</v>
      </c>
      <c r="N35" s="8">
        <f>2379940.134*M57</f>
        <v>3427113.7929599998</v>
      </c>
      <c r="O35" s="8">
        <f>27436272.5*M57</f>
        <v>39508232.399999999</v>
      </c>
      <c r="Q35" s="13"/>
    </row>
    <row r="36" spans="1:17" ht="15">
      <c r="A36" s="14">
        <v>10</v>
      </c>
      <c r="B36" s="50"/>
      <c r="C36" s="51" t="s">
        <v>55</v>
      </c>
      <c r="D36" s="51"/>
      <c r="E36" s="5" t="s">
        <v>18</v>
      </c>
      <c r="F36" s="16">
        <v>39023</v>
      </c>
      <c r="G36" s="16">
        <v>53554</v>
      </c>
      <c r="H36" s="17">
        <v>1.4999999999999999E-2</v>
      </c>
      <c r="I36" s="8">
        <f>52567000*M57</f>
        <v>75696480</v>
      </c>
      <c r="J36" s="8">
        <v>369120.3</v>
      </c>
      <c r="K36" s="8">
        <f t="shared" si="5"/>
        <v>75327359.700000003</v>
      </c>
      <c r="L36" s="8">
        <f t="shared" si="6"/>
        <v>0</v>
      </c>
      <c r="M36" s="8">
        <f>4175850*M57</f>
        <v>6013224</v>
      </c>
      <c r="N36" s="8">
        <f>5090569.755*M57</f>
        <v>7330420.4471999994</v>
      </c>
      <c r="O36" s="8">
        <f>48022029.7*M57</f>
        <v>69151722.768000007</v>
      </c>
      <c r="Q36" s="13"/>
    </row>
    <row r="37" spans="1:17" ht="15">
      <c r="A37" s="14">
        <v>11</v>
      </c>
      <c r="B37" s="50"/>
      <c r="C37" s="51" t="s">
        <v>56</v>
      </c>
      <c r="D37" s="51"/>
      <c r="E37" s="5" t="s">
        <v>18</v>
      </c>
      <c r="F37" s="16">
        <v>39222</v>
      </c>
      <c r="G37" s="16">
        <v>50740</v>
      </c>
      <c r="H37" s="17">
        <v>1.4999999999999999E-2</v>
      </c>
      <c r="I37" s="8">
        <f>23563000*M57</f>
        <v>33930720</v>
      </c>
      <c r="J37" s="8">
        <v>694285.25</v>
      </c>
      <c r="K37" s="8">
        <f t="shared" si="5"/>
        <v>33236434.75</v>
      </c>
      <c r="L37" s="8">
        <f t="shared" si="6"/>
        <v>0</v>
      </c>
      <c r="M37" s="8">
        <f>5717184*M57</f>
        <v>8232744.96</v>
      </c>
      <c r="N37" s="8">
        <f>2550348.55*M57</f>
        <v>3672501.9119999995</v>
      </c>
      <c r="O37" s="8">
        <f>17151536.1*M57</f>
        <v>24698211.984000001</v>
      </c>
      <c r="Q37" s="13"/>
    </row>
    <row r="38" spans="1:17" ht="18" customHeight="1">
      <c r="A38" s="42" t="s">
        <v>27</v>
      </c>
      <c r="B38" s="43"/>
      <c r="C38" s="43"/>
      <c r="D38" s="43"/>
      <c r="E38" s="44"/>
      <c r="F38" s="9"/>
      <c r="G38" s="9"/>
      <c r="H38" s="9"/>
      <c r="I38" s="10">
        <f t="shared" ref="I38:O38" si="7">SUM(I27:I37)</f>
        <v>747727803.12960005</v>
      </c>
      <c r="J38" s="10">
        <f t="shared" si="7"/>
        <v>45267249.679999992</v>
      </c>
      <c r="K38" s="10">
        <f t="shared" si="7"/>
        <v>702460553.44959998</v>
      </c>
      <c r="L38" s="10">
        <f>SUM(L27:L37)</f>
        <v>0</v>
      </c>
      <c r="M38" s="10">
        <f t="shared" si="7"/>
        <v>64516614.449759997</v>
      </c>
      <c r="N38" s="10">
        <f t="shared" si="7"/>
        <v>71749743.945119992</v>
      </c>
      <c r="O38" s="10">
        <f t="shared" si="7"/>
        <v>575081207.56799996</v>
      </c>
      <c r="Q38" s="13"/>
    </row>
    <row r="39" spans="1:17" ht="15">
      <c r="A39" s="14">
        <v>1</v>
      </c>
      <c r="B39" s="49" t="s">
        <v>57</v>
      </c>
      <c r="C39" s="51" t="s">
        <v>58</v>
      </c>
      <c r="D39" s="51"/>
      <c r="E39" s="5" t="s">
        <v>18</v>
      </c>
      <c r="F39" s="19">
        <v>39101</v>
      </c>
      <c r="G39" s="20">
        <v>43850</v>
      </c>
      <c r="H39" s="21">
        <v>5.0000000000000001E-3</v>
      </c>
      <c r="I39" s="8">
        <f>81000000*M57</f>
        <v>116640000</v>
      </c>
      <c r="J39" s="8">
        <f>5650000*M57</f>
        <v>8136000</v>
      </c>
      <c r="K39" s="8">
        <f>I39-J39</f>
        <v>108504000</v>
      </c>
      <c r="L39" s="8">
        <f>I39-(K39+J39)</f>
        <v>0</v>
      </c>
      <c r="M39" s="8">
        <f>75350000*M57</f>
        <v>108504000</v>
      </c>
      <c r="N39" s="8">
        <f>720546*M57</f>
        <v>1037586.24</v>
      </c>
      <c r="O39" s="8">
        <f>K39-M39</f>
        <v>0</v>
      </c>
    </row>
    <row r="40" spans="1:17" ht="15">
      <c r="A40" s="14">
        <v>2</v>
      </c>
      <c r="B40" s="50"/>
      <c r="C40" s="51" t="s">
        <v>59</v>
      </c>
      <c r="D40" s="51"/>
      <c r="E40" s="5" t="s">
        <v>18</v>
      </c>
      <c r="F40" s="19">
        <v>40851</v>
      </c>
      <c r="G40" s="20">
        <v>44196</v>
      </c>
      <c r="H40" s="21">
        <v>0</v>
      </c>
      <c r="I40" s="8">
        <f>85000000*M57</f>
        <v>122400000</v>
      </c>
      <c r="J40" s="8">
        <f>61000000*M57</f>
        <v>87840000</v>
      </c>
      <c r="K40" s="8">
        <f t="shared" si="1"/>
        <v>34560000</v>
      </c>
      <c r="L40" s="8">
        <f t="shared" ref="L40:L41" si="8">I40-(K40+J40)</f>
        <v>0</v>
      </c>
      <c r="M40" s="8">
        <f>15600000*M57</f>
        <v>22464000</v>
      </c>
      <c r="N40" s="8">
        <v>0</v>
      </c>
      <c r="O40" s="8">
        <f>K40-M40</f>
        <v>12096000</v>
      </c>
    </row>
    <row r="41" spans="1:17" ht="15">
      <c r="A41" s="14">
        <v>4</v>
      </c>
      <c r="B41" s="50"/>
      <c r="C41" s="51" t="s">
        <v>60</v>
      </c>
      <c r="D41" s="51"/>
      <c r="E41" s="5" t="s">
        <v>18</v>
      </c>
      <c r="F41" s="19">
        <v>43983</v>
      </c>
      <c r="G41" s="20">
        <v>49674</v>
      </c>
      <c r="H41" s="21">
        <v>0</v>
      </c>
      <c r="I41" s="8">
        <f>161900000*M57</f>
        <v>233136000</v>
      </c>
      <c r="J41" s="8">
        <v>0</v>
      </c>
      <c r="K41" s="8">
        <f>I41-J41</f>
        <v>233136000</v>
      </c>
      <c r="L41" s="8">
        <f t="shared" si="8"/>
        <v>0</v>
      </c>
      <c r="M41" s="8">
        <v>0</v>
      </c>
      <c r="N41" s="8">
        <v>0</v>
      </c>
      <c r="O41" s="8">
        <f>K41-M41</f>
        <v>233136000</v>
      </c>
    </row>
    <row r="42" spans="1:17" ht="15">
      <c r="A42" s="14">
        <v>5</v>
      </c>
      <c r="B42" s="50"/>
      <c r="C42" s="51" t="s">
        <v>61</v>
      </c>
      <c r="D42" s="51"/>
      <c r="E42" s="5" t="s">
        <v>18</v>
      </c>
      <c r="F42" s="19">
        <v>44141</v>
      </c>
      <c r="G42" s="20">
        <v>13149</v>
      </c>
      <c r="H42" s="21">
        <v>0</v>
      </c>
      <c r="I42" s="8">
        <f>259040000*M57</f>
        <v>373017600</v>
      </c>
      <c r="J42" s="8">
        <v>0</v>
      </c>
      <c r="K42" s="8">
        <f>80950000*M57</f>
        <v>116568000</v>
      </c>
      <c r="L42" s="8">
        <f>I42-(K42+J42)</f>
        <v>256449600</v>
      </c>
      <c r="M42" s="8">
        <v>0</v>
      </c>
      <c r="N42" s="8">
        <v>0</v>
      </c>
      <c r="O42" s="8">
        <f>K42-M42</f>
        <v>116568000</v>
      </c>
    </row>
    <row r="43" spans="1:17" ht="18" customHeight="1">
      <c r="A43" s="42" t="s">
        <v>27</v>
      </c>
      <c r="B43" s="43"/>
      <c r="C43" s="43"/>
      <c r="D43" s="43"/>
      <c r="E43" s="44"/>
      <c r="F43" s="9"/>
      <c r="G43" s="9"/>
      <c r="H43" s="9"/>
      <c r="I43" s="10">
        <f t="shared" ref="I43:O43" si="9">SUM(I39:I42)</f>
        <v>845193600</v>
      </c>
      <c r="J43" s="10">
        <f t="shared" si="9"/>
        <v>95976000</v>
      </c>
      <c r="K43" s="10">
        <f t="shared" si="9"/>
        <v>492768000</v>
      </c>
      <c r="L43" s="10">
        <f>SUM(L39:L42)</f>
        <v>256449600</v>
      </c>
      <c r="M43" s="10">
        <f t="shared" si="9"/>
        <v>130968000</v>
      </c>
      <c r="N43" s="10">
        <f t="shared" si="9"/>
        <v>1037586.24</v>
      </c>
      <c r="O43" s="10">
        <f t="shared" si="9"/>
        <v>361800000</v>
      </c>
    </row>
    <row r="44" spans="1:17" ht="15">
      <c r="A44" s="14">
        <v>1</v>
      </c>
      <c r="B44" s="22" t="s">
        <v>62</v>
      </c>
      <c r="C44" s="52" t="s">
        <v>63</v>
      </c>
      <c r="D44" s="52"/>
      <c r="E44" s="5" t="s">
        <v>18</v>
      </c>
      <c r="F44" s="16">
        <v>41899</v>
      </c>
      <c r="G44" s="16">
        <v>45412</v>
      </c>
      <c r="H44" s="21">
        <v>0</v>
      </c>
      <c r="I44" s="8">
        <v>50626257</v>
      </c>
      <c r="J44" s="8">
        <v>42424803</v>
      </c>
      <c r="K44" s="8">
        <f>I44-J44</f>
        <v>8201454</v>
      </c>
      <c r="L44" s="8">
        <f>I44-(K44+J44)</f>
        <v>0</v>
      </c>
      <c r="M44" s="8">
        <f>'[17]2014103'!$D$16</f>
        <v>4000000</v>
      </c>
      <c r="N44" s="8">
        <v>0</v>
      </c>
      <c r="O44" s="8">
        <f>K44-M44</f>
        <v>4201454</v>
      </c>
    </row>
    <row r="45" spans="1:17" ht="18" customHeight="1">
      <c r="A45" s="42" t="s">
        <v>27</v>
      </c>
      <c r="B45" s="43"/>
      <c r="C45" s="43"/>
      <c r="D45" s="43"/>
      <c r="E45" s="44"/>
      <c r="F45" s="9"/>
      <c r="G45" s="9"/>
      <c r="H45" s="9"/>
      <c r="I45" s="10">
        <f t="shared" ref="I45:O45" si="10">I44</f>
        <v>50626257</v>
      </c>
      <c r="J45" s="10">
        <f t="shared" si="10"/>
        <v>42424803</v>
      </c>
      <c r="K45" s="10">
        <f t="shared" si="10"/>
        <v>8201454</v>
      </c>
      <c r="L45" s="10">
        <f>L44</f>
        <v>0</v>
      </c>
      <c r="M45" s="10">
        <f t="shared" si="10"/>
        <v>4000000</v>
      </c>
      <c r="N45" s="10">
        <f t="shared" si="10"/>
        <v>0</v>
      </c>
      <c r="O45" s="10">
        <f t="shared" si="10"/>
        <v>4201454</v>
      </c>
    </row>
    <row r="46" spans="1:17" ht="15">
      <c r="A46" s="14">
        <v>1</v>
      </c>
      <c r="B46" s="50" t="s">
        <v>64</v>
      </c>
      <c r="C46" s="52" t="s">
        <v>65</v>
      </c>
      <c r="D46" s="52"/>
      <c r="E46" s="5" t="s">
        <v>18</v>
      </c>
      <c r="F46" s="16">
        <v>41681</v>
      </c>
      <c r="G46" s="16">
        <v>56142</v>
      </c>
      <c r="H46" s="21">
        <v>0</v>
      </c>
      <c r="I46" s="8">
        <f>29300000*M56</f>
        <v>36039000</v>
      </c>
      <c r="J46" s="8">
        <v>0</v>
      </c>
      <c r="K46" s="8">
        <f>1299925*M56</f>
        <v>1598907.75</v>
      </c>
      <c r="L46" s="8">
        <f>I46-(K46+J46)</f>
        <v>34440092.25</v>
      </c>
      <c r="M46" s="8">
        <v>0</v>
      </c>
      <c r="N46" s="8">
        <v>0</v>
      </c>
      <c r="O46" s="8">
        <f>1299925*M56</f>
        <v>1598907.75</v>
      </c>
    </row>
    <row r="47" spans="1:17" ht="15">
      <c r="A47" s="14">
        <v>2</v>
      </c>
      <c r="B47" s="50"/>
      <c r="C47" s="52" t="s">
        <v>66</v>
      </c>
      <c r="D47" s="52"/>
      <c r="E47" s="5" t="s">
        <v>18</v>
      </c>
      <c r="F47" s="16">
        <v>42766</v>
      </c>
      <c r="G47" s="16">
        <v>57710</v>
      </c>
      <c r="H47" s="21">
        <v>0</v>
      </c>
      <c r="I47" s="8">
        <f>92271824*M56</f>
        <v>113494343.52</v>
      </c>
      <c r="J47" s="8">
        <v>0</v>
      </c>
      <c r="K47" s="8">
        <f>20000000*M56</f>
        <v>24600000</v>
      </c>
      <c r="L47" s="8">
        <f t="shared" ref="L47:L48" si="11">I47-(K47+J47)</f>
        <v>88894343.519999996</v>
      </c>
      <c r="M47" s="8">
        <v>0</v>
      </c>
      <c r="N47" s="8">
        <v>0</v>
      </c>
      <c r="O47" s="8">
        <f>20000000*M56</f>
        <v>24600000</v>
      </c>
    </row>
    <row r="48" spans="1:17" ht="15">
      <c r="A48" s="14">
        <v>3</v>
      </c>
      <c r="B48" s="50"/>
      <c r="C48" s="52" t="s">
        <v>67</v>
      </c>
      <c r="D48" s="52"/>
      <c r="E48" s="5" t="s">
        <v>18</v>
      </c>
      <c r="F48" s="16">
        <v>43516</v>
      </c>
      <c r="G48" s="16">
        <v>58075</v>
      </c>
      <c r="H48" s="21">
        <v>0</v>
      </c>
      <c r="I48" s="8">
        <f>65000000*M56</f>
        <v>79950000</v>
      </c>
      <c r="J48" s="8">
        <v>0</v>
      </c>
      <c r="K48" s="8">
        <v>0</v>
      </c>
      <c r="L48" s="8">
        <f t="shared" si="11"/>
        <v>79950000</v>
      </c>
      <c r="M48" s="8">
        <v>0</v>
      </c>
      <c r="N48" s="8">
        <v>0</v>
      </c>
      <c r="O48" s="8">
        <v>0</v>
      </c>
    </row>
    <row r="49" spans="1:15" ht="18" customHeight="1">
      <c r="A49" s="42" t="s">
        <v>27</v>
      </c>
      <c r="B49" s="43"/>
      <c r="C49" s="43"/>
      <c r="D49" s="43"/>
      <c r="E49" s="44"/>
      <c r="F49" s="9"/>
      <c r="G49" s="9"/>
      <c r="H49" s="9"/>
      <c r="I49" s="10">
        <f t="shared" ref="I49:O49" si="12">SUM(I46:I48)</f>
        <v>229483343.51999998</v>
      </c>
      <c r="J49" s="10">
        <f t="shared" si="12"/>
        <v>0</v>
      </c>
      <c r="K49" s="10">
        <f t="shared" si="12"/>
        <v>26198907.75</v>
      </c>
      <c r="L49" s="10">
        <f>SUM(L46:L48)</f>
        <v>203284435.76999998</v>
      </c>
      <c r="M49" s="10">
        <f t="shared" si="12"/>
        <v>0</v>
      </c>
      <c r="N49" s="10">
        <f t="shared" si="12"/>
        <v>0</v>
      </c>
      <c r="O49" s="10">
        <f t="shared" si="12"/>
        <v>26198907.75</v>
      </c>
    </row>
    <row r="50" spans="1:15" ht="15">
      <c r="A50" s="14">
        <v>1</v>
      </c>
      <c r="B50" s="22" t="s">
        <v>68</v>
      </c>
      <c r="C50" s="52" t="s">
        <v>69</v>
      </c>
      <c r="D50" s="52"/>
      <c r="E50" s="5" t="s">
        <v>18</v>
      </c>
      <c r="F50" s="16">
        <v>42239</v>
      </c>
      <c r="G50" s="16">
        <v>56749</v>
      </c>
      <c r="H50" s="23" t="s">
        <v>30</v>
      </c>
      <c r="I50" s="8">
        <f>6885963.88*M58</f>
        <v>22654821.165199999</v>
      </c>
      <c r="J50" s="8">
        <v>0</v>
      </c>
      <c r="K50" s="8">
        <f>6885963.88*M58</f>
        <v>22654821.165199999</v>
      </c>
      <c r="L50" s="8">
        <f>I50-(K50+J50)</f>
        <v>0</v>
      </c>
      <c r="M50" s="8">
        <v>0</v>
      </c>
      <c r="N50" s="8">
        <f>137719.27*M58</f>
        <v>453096.39829999994</v>
      </c>
      <c r="O50" s="8">
        <f>6885963.88*M58</f>
        <v>22654821.165199999</v>
      </c>
    </row>
    <row r="51" spans="1:15" ht="18" customHeight="1">
      <c r="A51" s="42" t="s">
        <v>27</v>
      </c>
      <c r="B51" s="43"/>
      <c r="C51" s="43"/>
      <c r="D51" s="43"/>
      <c r="E51" s="44"/>
      <c r="F51" s="9"/>
      <c r="G51" s="9"/>
      <c r="H51" s="9"/>
      <c r="I51" s="10">
        <f t="shared" ref="I51:O51" si="13">I50</f>
        <v>22654821.165199999</v>
      </c>
      <c r="J51" s="10">
        <f t="shared" si="13"/>
        <v>0</v>
      </c>
      <c r="K51" s="10">
        <f t="shared" si="13"/>
        <v>22654821.165199999</v>
      </c>
      <c r="L51" s="10">
        <f>L50</f>
        <v>0</v>
      </c>
      <c r="M51" s="10">
        <f t="shared" si="13"/>
        <v>0</v>
      </c>
      <c r="N51" s="10">
        <f t="shared" si="13"/>
        <v>453096.39829999994</v>
      </c>
      <c r="O51" s="10">
        <f t="shared" si="13"/>
        <v>22654821.165199999</v>
      </c>
    </row>
    <row r="52" spans="1:15" ht="15">
      <c r="A52" s="14">
        <v>1</v>
      </c>
      <c r="B52" s="22" t="s">
        <v>70</v>
      </c>
      <c r="C52" s="52" t="s">
        <v>71</v>
      </c>
      <c r="D52" s="52"/>
      <c r="E52" s="5" t="s">
        <v>18</v>
      </c>
      <c r="F52" s="16">
        <v>40974</v>
      </c>
      <c r="G52" s="16">
        <v>52246</v>
      </c>
      <c r="H52" s="23" t="s">
        <v>30</v>
      </c>
      <c r="I52" s="8">
        <v>1781250</v>
      </c>
      <c r="J52" s="8">
        <v>0</v>
      </c>
      <c r="K52" s="8">
        <v>1781250</v>
      </c>
      <c r="L52" s="8">
        <f>I52-(K52+J52)</f>
        <v>0</v>
      </c>
      <c r="M52" s="8">
        <f>[18]OPEC!$H$37</f>
        <v>296820</v>
      </c>
      <c r="N52" s="8">
        <f>[18]OPEC!$H$27</f>
        <v>179609.39</v>
      </c>
      <c r="O52" s="8">
        <f>K52-M52</f>
        <v>1484430</v>
      </c>
    </row>
    <row r="53" spans="1:15" ht="18" customHeight="1">
      <c r="A53" s="42" t="s">
        <v>27</v>
      </c>
      <c r="B53" s="43"/>
      <c r="C53" s="43"/>
      <c r="D53" s="43"/>
      <c r="E53" s="43"/>
      <c r="F53" s="43"/>
      <c r="G53" s="43"/>
      <c r="H53" s="44"/>
      <c r="I53" s="10">
        <f t="shared" ref="I53:O53" si="14">I52</f>
        <v>1781250</v>
      </c>
      <c r="J53" s="10">
        <f t="shared" si="14"/>
        <v>0</v>
      </c>
      <c r="K53" s="10">
        <f t="shared" si="14"/>
        <v>1781250</v>
      </c>
      <c r="L53" s="10">
        <f>L52</f>
        <v>0</v>
      </c>
      <c r="M53" s="10">
        <f t="shared" si="14"/>
        <v>296820</v>
      </c>
      <c r="N53" s="10">
        <f t="shared" si="14"/>
        <v>179609.39</v>
      </c>
      <c r="O53" s="10">
        <f t="shared" si="14"/>
        <v>1484430</v>
      </c>
    </row>
    <row r="54" spans="1:15" ht="18" customHeight="1">
      <c r="A54" s="42" t="s">
        <v>72</v>
      </c>
      <c r="B54" s="43"/>
      <c r="C54" s="43"/>
      <c r="D54" s="43"/>
      <c r="E54" s="43"/>
      <c r="F54" s="43"/>
      <c r="G54" s="43"/>
      <c r="H54" s="44"/>
      <c r="I54" s="10">
        <f>SUM(I13,I20,I26,I38,I43,I45,I49,I51,I53)</f>
        <v>2699862434.8148003</v>
      </c>
      <c r="J54" s="10">
        <f t="shared" ref="J54:N54" si="15">SUM(J13,J20,J26,J38,J43,J45,J49,J51,J53)</f>
        <v>201748678.49419999</v>
      </c>
      <c r="K54" s="10">
        <f t="shared" si="15"/>
        <v>1854655883.7691</v>
      </c>
      <c r="L54" s="10">
        <f t="shared" si="15"/>
        <v>643457872.55149996</v>
      </c>
      <c r="M54" s="10">
        <f t="shared" si="15"/>
        <v>256289922.88959998</v>
      </c>
      <c r="N54" s="10">
        <f t="shared" si="15"/>
        <v>113417597.20702</v>
      </c>
      <c r="O54" s="10">
        <f>SUM(O13,O20,O26,O38,O43,O45,O49,O51,O53)</f>
        <v>1502097977.9778998</v>
      </c>
    </row>
    <row r="55" spans="1:15" ht="23.45" customHeight="1">
      <c r="M55" s="25" t="s">
        <v>73</v>
      </c>
    </row>
    <row r="56" spans="1:15">
      <c r="M56">
        <v>1.23</v>
      </c>
      <c r="O56" t="s">
        <v>74</v>
      </c>
    </row>
    <row r="57" spans="1:15">
      <c r="B57" s="26"/>
      <c r="M57">
        <v>1.44</v>
      </c>
      <c r="O57" t="s">
        <v>75</v>
      </c>
    </row>
    <row r="58" spans="1:15">
      <c r="M58">
        <v>3.29</v>
      </c>
      <c r="O58" t="s">
        <v>76</v>
      </c>
    </row>
    <row r="59" spans="1:15">
      <c r="M59">
        <v>0.27</v>
      </c>
      <c r="O59" t="s">
        <v>77</v>
      </c>
    </row>
  </sheetData>
  <mergeCells count="71">
    <mergeCell ref="C7:D7"/>
    <mergeCell ref="C6:D6"/>
    <mergeCell ref="C5:D5"/>
    <mergeCell ref="C4:D4"/>
    <mergeCell ref="C12:D12"/>
    <mergeCell ref="C11:D11"/>
    <mergeCell ref="C10:D10"/>
    <mergeCell ref="C9:D9"/>
    <mergeCell ref="C8:D8"/>
    <mergeCell ref="A54:H54"/>
    <mergeCell ref="A43:E43"/>
    <mergeCell ref="C44:D44"/>
    <mergeCell ref="A45:E45"/>
    <mergeCell ref="B46:B48"/>
    <mergeCell ref="C46:D46"/>
    <mergeCell ref="C47:D47"/>
    <mergeCell ref="C48:D48"/>
    <mergeCell ref="A49:E49"/>
    <mergeCell ref="C50:D50"/>
    <mergeCell ref="A51:E51"/>
    <mergeCell ref="C52:D52"/>
    <mergeCell ref="A53:H53"/>
    <mergeCell ref="A38:E38"/>
    <mergeCell ref="B39:B42"/>
    <mergeCell ref="C39:D39"/>
    <mergeCell ref="C40:D40"/>
    <mergeCell ref="C41:D41"/>
    <mergeCell ref="C42:D42"/>
    <mergeCell ref="A26:E26"/>
    <mergeCell ref="B27:B37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A13:E13"/>
    <mergeCell ref="C18:D18"/>
    <mergeCell ref="C19:D19"/>
    <mergeCell ref="A20:E20"/>
    <mergeCell ref="B21:B25"/>
    <mergeCell ref="C21:D21"/>
    <mergeCell ref="C22:D22"/>
    <mergeCell ref="C23:D23"/>
    <mergeCell ref="C24:D24"/>
    <mergeCell ref="C25:D25"/>
    <mergeCell ref="B14:B19"/>
    <mergeCell ref="C14:D14"/>
    <mergeCell ref="C15:D15"/>
    <mergeCell ref="C16:D16"/>
    <mergeCell ref="C17:D17"/>
    <mergeCell ref="B4:B12"/>
    <mergeCell ref="B1:O1"/>
    <mergeCell ref="A2:A3"/>
    <mergeCell ref="B2:B3"/>
    <mergeCell ref="C2:D3"/>
    <mergeCell ref="E2:E3"/>
    <mergeCell ref="F2:F3"/>
    <mergeCell ref="G2:G3"/>
    <mergeCell ref="H2:H3"/>
    <mergeCell ref="I2:I3"/>
    <mergeCell ref="J2:J3"/>
    <mergeCell ref="K2:K3"/>
    <mergeCell ref="L2:L3"/>
    <mergeCell ref="M2:N2"/>
    <mergeCell ref="O2:O3"/>
  </mergeCells>
  <pageMargins left="0.7" right="0.7" top="0.75" bottom="0.75" header="0.3" footer="0.3"/>
  <pageSetup scale="46" orientation="landscape" horizontalDpi="4294967295" verticalDpi="4294967295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MIDIA</vt:lpstr>
      <vt:lpstr>'FOR MIDIA'!Print_Area</vt:lpstr>
    </vt:vector>
  </TitlesOfParts>
  <Company>MRT www.Win2Farsi.com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milad.hamedi</dc:creator>
  <cp:lastModifiedBy>hamdard</cp:lastModifiedBy>
  <dcterms:created xsi:type="dcterms:W3CDTF">2021-02-07T07:01:18Z</dcterms:created>
  <dcterms:modified xsi:type="dcterms:W3CDTF">2021-03-08T05:36:15Z</dcterms:modified>
</cp:coreProperties>
</file>